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eza\TL\"/>
    </mc:Choice>
  </mc:AlternateContent>
  <xr:revisionPtr revIDLastSave="0" documentId="13_ncr:1_{17AD5485-6560-4441-B2C8-C70420E9BBDC}" xr6:coauthVersionLast="45" xr6:coauthVersionMax="45" xr10:uidLastSave="{00000000-0000-0000-0000-000000000000}"/>
  <bookViews>
    <workbookView xWindow="-120" yWindow="-120" windowWidth="20730" windowHeight="11160" tabRatio="701" activeTab="3" xr2:uid="{00000000-000D-0000-FFFF-FFFF00000000}"/>
  </bookViews>
  <sheets>
    <sheet name="Summary AWPB" sheetId="32" r:id="rId1"/>
    <sheet name="Detailed AWPB Com-1" sheetId="29" r:id="rId2"/>
    <sheet name="Detailed AWPB Com-2" sheetId="30" r:id="rId3"/>
    <sheet name="Detailed AWBCom-3 &amp; Total " sheetId="31" r:id="rId4"/>
    <sheet name="Financial Performance (June)" sheetId="26" r:id="rId5"/>
    <sheet name="Procurement" sheetId="27" r:id="rId6"/>
  </sheets>
  <externalReferences>
    <externalReference r:id="rId7"/>
  </externalReferences>
  <definedNames>
    <definedName name="_ftn1" localSheetId="0">'Summary AWPB'!$C$16</definedName>
    <definedName name="_ftnref1" localSheetId="0">'Summary AWPB'!$C$13</definedName>
    <definedName name="_xlnm.Print_Area" localSheetId="3">'Detailed AWBCom-3 &amp; Total '!$A$1:$AH$69</definedName>
    <definedName name="_xlnm.Print_Area" localSheetId="1">'Detailed AWPB Com-1'!$A$1:$AH$89</definedName>
    <definedName name="_xlnm.Print_Area" localSheetId="2">'Detailed AWPB Com-2'!$A$1:$AH$78</definedName>
    <definedName name="_xlnm.Print_Area" localSheetId="4">'Financial Performance (June)'!$A$1:$N$73</definedName>
    <definedName name="_xlnm.Print_Area" localSheetId="5">Procurement!$A$1:$J$30</definedName>
    <definedName name="_xlnm.Print_Titles" localSheetId="3">'Detailed AWBCom-3 &amp; Total '!$6:$9</definedName>
    <definedName name="_xlnm.Print_Titles" localSheetId="1">'Detailed AWPB Com-1'!$6:$9</definedName>
    <definedName name="_xlnm.Print_Titles" localSheetId="2">'Detailed AWPB Com-2'!$6:$9</definedName>
  </definedNames>
  <calcPr calcId="181029"/>
</workbook>
</file>

<file path=xl/calcChain.xml><?xml version="1.0" encoding="utf-8"?>
<calcChain xmlns="http://schemas.openxmlformats.org/spreadsheetml/2006/main">
  <c r="S25" i="32" l="1"/>
  <c r="S29" i="32" s="1"/>
  <c r="Q25" i="32"/>
  <c r="O25" i="32"/>
  <c r="O29" i="32" s="1"/>
  <c r="M25" i="32"/>
  <c r="M29" i="32" s="1"/>
  <c r="S19" i="32"/>
  <c r="Q19" i="32"/>
  <c r="Q29" i="32" s="1"/>
  <c r="O19" i="32"/>
  <c r="M19" i="32"/>
  <c r="AG68" i="31" l="1"/>
  <c r="AB68" i="31"/>
  <c r="AG67" i="31"/>
  <c r="AB67" i="31"/>
  <c r="AG66" i="31"/>
  <c r="AB66" i="31"/>
  <c r="AG65" i="31"/>
  <c r="AB65" i="31"/>
  <c r="AG64" i="31"/>
  <c r="AB64" i="31"/>
  <c r="AG63" i="31"/>
  <c r="AB63" i="31"/>
  <c r="AG62" i="31"/>
  <c r="AB62" i="31"/>
  <c r="AG61" i="31"/>
  <c r="AB61" i="31"/>
  <c r="AG60" i="31"/>
  <c r="AB60" i="31"/>
  <c r="AG59" i="31"/>
  <c r="AB59" i="31"/>
  <c r="AG58" i="31"/>
  <c r="AB58" i="31"/>
  <c r="AG57" i="31"/>
  <c r="AG56" i="31"/>
  <c r="AB56" i="31"/>
  <c r="AM54" i="31"/>
  <c r="AL54" i="31"/>
  <c r="AL55" i="31" s="1"/>
  <c r="AJ54" i="31"/>
  <c r="AJ55" i="31" s="1"/>
  <c r="AI54" i="31"/>
  <c r="AI55" i="31" s="1"/>
  <c r="AD54" i="31"/>
  <c r="AC54" i="31"/>
  <c r="Y54" i="31"/>
  <c r="W54" i="31"/>
  <c r="W55" i="31" s="1"/>
  <c r="V54" i="31"/>
  <c r="S54" i="31"/>
  <c r="S55" i="31" s="1"/>
  <c r="S69" i="31" s="1"/>
  <c r="Q54" i="31"/>
  <c r="Q55" i="31" s="1"/>
  <c r="Q69" i="31" s="1"/>
  <c r="AK53" i="31"/>
  <c r="AE53" i="31"/>
  <c r="Z53" i="31" s="1"/>
  <c r="AA53" i="31" s="1"/>
  <c r="AB53" i="31" s="1"/>
  <c r="AC53" i="31"/>
  <c r="X53" i="31"/>
  <c r="U53" i="31"/>
  <c r="Q53" i="31"/>
  <c r="AK52" i="31"/>
  <c r="AF52" i="31"/>
  <c r="AG52" i="31" s="1"/>
  <c r="Z52" i="31"/>
  <c r="AA52" i="31" s="1"/>
  <c r="AB52" i="31" s="1"/>
  <c r="X52" i="31"/>
  <c r="U52" i="31"/>
  <c r="AK51" i="31"/>
  <c r="AF51" i="31"/>
  <c r="AG51" i="31" s="1"/>
  <c r="Z51" i="31"/>
  <c r="AA51" i="31" s="1"/>
  <c r="AB51" i="31" s="1"/>
  <c r="X51" i="31"/>
  <c r="U51" i="31"/>
  <c r="AK50" i="31"/>
  <c r="AF50" i="31"/>
  <c r="AG50" i="31" s="1"/>
  <c r="Z50" i="31"/>
  <c r="AA50" i="31" s="1"/>
  <c r="AB50" i="31" s="1"/>
  <c r="X50" i="31"/>
  <c r="U50" i="31"/>
  <c r="AK49" i="31"/>
  <c r="AF49" i="31"/>
  <c r="AG49" i="31" s="1"/>
  <c r="Z49" i="31"/>
  <c r="AA49" i="31" s="1"/>
  <c r="AB49" i="31" s="1"/>
  <c r="X49" i="31"/>
  <c r="U49" i="31"/>
  <c r="AK48" i="31"/>
  <c r="AF48" i="31"/>
  <c r="AG48" i="31" s="1"/>
  <c r="Z48" i="31"/>
  <c r="AA48" i="31" s="1"/>
  <c r="AB48" i="31" s="1"/>
  <c r="X48" i="31"/>
  <c r="U48" i="31"/>
  <c r="AK47" i="31"/>
  <c r="AK54" i="31" s="1"/>
  <c r="AF47" i="31"/>
  <c r="AG47" i="31" s="1"/>
  <c r="Z47" i="31"/>
  <c r="AA47" i="31" s="1"/>
  <c r="AB47" i="31" s="1"/>
  <c r="X47" i="31"/>
  <c r="U47" i="31"/>
  <c r="I47" i="31"/>
  <c r="AK46" i="31"/>
  <c r="AF46" i="31"/>
  <c r="AG46" i="31" s="1"/>
  <c r="AA46" i="31"/>
  <c r="AB46" i="31" s="1"/>
  <c r="Z46" i="31"/>
  <c r="X46" i="31"/>
  <c r="U46" i="31"/>
  <c r="AK45" i="31"/>
  <c r="AF45" i="31"/>
  <c r="AA45" i="31"/>
  <c r="Z45" i="31"/>
  <c r="X45" i="31"/>
  <c r="X54" i="31" s="1"/>
  <c r="U45" i="31"/>
  <c r="U54" i="31" s="1"/>
  <c r="U55" i="31" s="1"/>
  <c r="AK44" i="31"/>
  <c r="AJ43" i="31"/>
  <c r="AI43" i="31"/>
  <c r="AE43" i="31"/>
  <c r="AD43" i="31"/>
  <c r="AD55" i="31" s="1"/>
  <c r="AD69" i="31" s="1"/>
  <c r="Y43" i="31"/>
  <c r="Y55" i="31" s="1"/>
  <c r="Y69" i="31" s="1"/>
  <c r="W43" i="31"/>
  <c r="V43" i="31"/>
  <c r="V55" i="31" s="1"/>
  <c r="V69" i="31" s="1"/>
  <c r="S43" i="31"/>
  <c r="Q43" i="31"/>
  <c r="AK42" i="31"/>
  <c r="AG42" i="31"/>
  <c r="AF42" i="31"/>
  <c r="AA42" i="31"/>
  <c r="AB42" i="31" s="1"/>
  <c r="Z42" i="31"/>
  <c r="X42" i="31"/>
  <c r="U42" i="31"/>
  <c r="AK41" i="31"/>
  <c r="AG41" i="31"/>
  <c r="AF41" i="31"/>
  <c r="AA41" i="31"/>
  <c r="AB41" i="31" s="1"/>
  <c r="Z41" i="31"/>
  <c r="X41" i="31"/>
  <c r="U41" i="31"/>
  <c r="AK40" i="31"/>
  <c r="AG40" i="31"/>
  <c r="AF40" i="31"/>
  <c r="AA40" i="31"/>
  <c r="AB40" i="31" s="1"/>
  <c r="Z40" i="31"/>
  <c r="X40" i="31"/>
  <c r="U40" i="31"/>
  <c r="AK39" i="31"/>
  <c r="AG39" i="31"/>
  <c r="AF39" i="31"/>
  <c r="AA39" i="31"/>
  <c r="AB39" i="31" s="1"/>
  <c r="Z39" i="31"/>
  <c r="X39" i="31"/>
  <c r="U39" i="31"/>
  <c r="AK38" i="31"/>
  <c r="AG38" i="31"/>
  <c r="AF38" i="31"/>
  <c r="AA38" i="31"/>
  <c r="AB38" i="31" s="1"/>
  <c r="Z38" i="31"/>
  <c r="X38" i="31"/>
  <c r="U38" i="31"/>
  <c r="AK37" i="31"/>
  <c r="AG37" i="31"/>
  <c r="AF37" i="31"/>
  <c r="AA37" i="31"/>
  <c r="AB37" i="31" s="1"/>
  <c r="Z37" i="31"/>
  <c r="X37" i="31"/>
  <c r="U37" i="31"/>
  <c r="AK36" i="31"/>
  <c r="AG36" i="31"/>
  <c r="AF36" i="31"/>
  <c r="AA36" i="31"/>
  <c r="AB36" i="31" s="1"/>
  <c r="Z36" i="31"/>
  <c r="X36" i="31"/>
  <c r="U36" i="31"/>
  <c r="AK35" i="31"/>
  <c r="AG35" i="31"/>
  <c r="AF35" i="31"/>
  <c r="AA35" i="31"/>
  <c r="AB35" i="31" s="1"/>
  <c r="Z35" i="31"/>
  <c r="X35" i="31"/>
  <c r="U35" i="31"/>
  <c r="AK34" i="31"/>
  <c r="AG34" i="31"/>
  <c r="AF34" i="31"/>
  <c r="AA34" i="31"/>
  <c r="AB34" i="31" s="1"/>
  <c r="Z34" i="31"/>
  <c r="X34" i="31"/>
  <c r="U34" i="31"/>
  <c r="AK33" i="31"/>
  <c r="AG33" i="31"/>
  <c r="AF33" i="31"/>
  <c r="AA33" i="31"/>
  <c r="AB33" i="31" s="1"/>
  <c r="Z33" i="31"/>
  <c r="X33" i="31"/>
  <c r="U33" i="31"/>
  <c r="AK32" i="31"/>
  <c r="AG32" i="31"/>
  <c r="AF32" i="31"/>
  <c r="AA32" i="31"/>
  <c r="AB32" i="31" s="1"/>
  <c r="Z32" i="31"/>
  <c r="X32" i="31"/>
  <c r="U32" i="31"/>
  <c r="AK31" i="31"/>
  <c r="AG31" i="31"/>
  <c r="AF31" i="31"/>
  <c r="AA31" i="31"/>
  <c r="AB31" i="31" s="1"/>
  <c r="Z31" i="31"/>
  <c r="X31" i="31"/>
  <c r="U31" i="31"/>
  <c r="AK30" i="31"/>
  <c r="AG30" i="31"/>
  <c r="AF30" i="31"/>
  <c r="AA30" i="31"/>
  <c r="AB30" i="31" s="1"/>
  <c r="Z30" i="31"/>
  <c r="X30" i="31"/>
  <c r="AK29" i="31"/>
  <c r="AF29" i="31"/>
  <c r="AG29" i="31" s="1"/>
  <c r="Z29" i="31"/>
  <c r="Z43" i="31" s="1"/>
  <c r="X29" i="31"/>
  <c r="Q29" i="31"/>
  <c r="AK28" i="31"/>
  <c r="AF28" i="31"/>
  <c r="AG28" i="31" s="1"/>
  <c r="AC28" i="31"/>
  <c r="AC43" i="31" s="1"/>
  <c r="AA28" i="31"/>
  <c r="AB28" i="31" s="1"/>
  <c r="X28" i="31"/>
  <c r="X43" i="31" s="1"/>
  <c r="AK27" i="31"/>
  <c r="AK43" i="31" s="1"/>
  <c r="AG27" i="31"/>
  <c r="AF27" i="31"/>
  <c r="AF43" i="31" s="1"/>
  <c r="AG43" i="31" s="1"/>
  <c r="Z27" i="31"/>
  <c r="X27" i="31"/>
  <c r="AA27" i="31" s="1"/>
  <c r="AB27" i="31" s="1"/>
  <c r="U27" i="31"/>
  <c r="U43" i="31" s="1"/>
  <c r="C27" i="31"/>
  <c r="AK26" i="31"/>
  <c r="AM25" i="31"/>
  <c r="AM55" i="31" s="1"/>
  <c r="AL25" i="31"/>
  <c r="AJ25" i="31"/>
  <c r="AI25" i="31"/>
  <c r="AE25" i="31"/>
  <c r="AD25" i="31"/>
  <c r="AC25" i="31"/>
  <c r="Y25" i="31"/>
  <c r="W25" i="31"/>
  <c r="V25" i="31"/>
  <c r="S25" i="31"/>
  <c r="Q25" i="31"/>
  <c r="AK24" i="31"/>
  <c r="AF24" i="31"/>
  <c r="AG24" i="31" s="1"/>
  <c r="Z24" i="31"/>
  <c r="AA24" i="31" s="1"/>
  <c r="AB24" i="31" s="1"/>
  <c r="X24" i="31"/>
  <c r="AK23" i="31"/>
  <c r="AG23" i="31"/>
  <c r="AF23" i="31"/>
  <c r="AA23" i="31"/>
  <c r="AB23" i="31" s="1"/>
  <c r="Z23" i="31"/>
  <c r="X23" i="31"/>
  <c r="AK22" i="31"/>
  <c r="AF22" i="31"/>
  <c r="AG22" i="31" s="1"/>
  <c r="Z22" i="31"/>
  <c r="X22" i="31"/>
  <c r="AA22" i="31" s="1"/>
  <c r="AB22" i="31" s="1"/>
  <c r="AK21" i="31"/>
  <c r="AF21" i="31"/>
  <c r="AG21" i="31" s="1"/>
  <c r="Z21" i="31"/>
  <c r="X21" i="31"/>
  <c r="AA21" i="31" s="1"/>
  <c r="AB21" i="31" s="1"/>
  <c r="AK20" i="31"/>
  <c r="AG20" i="31"/>
  <c r="AF20" i="31"/>
  <c r="AA20" i="31"/>
  <c r="AB20" i="31" s="1"/>
  <c r="Z20" i="31"/>
  <c r="X20" i="31"/>
  <c r="AK19" i="31"/>
  <c r="AF19" i="31"/>
  <c r="AG19" i="31" s="1"/>
  <c r="Z19" i="31"/>
  <c r="AA19" i="31" s="1"/>
  <c r="AB19" i="31" s="1"/>
  <c r="X19" i="31"/>
  <c r="U19" i="31"/>
  <c r="AK18" i="31"/>
  <c r="AF18" i="31"/>
  <c r="AG18" i="31" s="1"/>
  <c r="Z18" i="31"/>
  <c r="AA18" i="31" s="1"/>
  <c r="AB18" i="31" s="1"/>
  <c r="X18" i="31"/>
  <c r="U18" i="31"/>
  <c r="AK17" i="31"/>
  <c r="AF17" i="31"/>
  <c r="AG17" i="31" s="1"/>
  <c r="Z17" i="31"/>
  <c r="AA17" i="31" s="1"/>
  <c r="AB17" i="31" s="1"/>
  <c r="AK16" i="31"/>
  <c r="AF16" i="31"/>
  <c r="AG16" i="31" s="1"/>
  <c r="AA16" i="31"/>
  <c r="AB16" i="31" s="1"/>
  <c r="Z16" i="31"/>
  <c r="X16" i="31"/>
  <c r="U16" i="31"/>
  <c r="U25" i="31" s="1"/>
  <c r="AK15" i="31"/>
  <c r="AF15" i="31"/>
  <c r="AG15" i="31" s="1"/>
  <c r="AA15" i="31"/>
  <c r="AB15" i="31" s="1"/>
  <c r="Z15" i="31"/>
  <c r="AK14" i="31"/>
  <c r="AC14" i="31"/>
  <c r="X14" i="31" s="1"/>
  <c r="AA14" i="31" s="1"/>
  <c r="AB14" i="31" s="1"/>
  <c r="Z14" i="31"/>
  <c r="AK13" i="31"/>
  <c r="AK25" i="31" s="1"/>
  <c r="AG13" i="31"/>
  <c r="AF13" i="31"/>
  <c r="AA13" i="31"/>
  <c r="AA25" i="31" s="1"/>
  <c r="AB25" i="31" s="1"/>
  <c r="Z13" i="31"/>
  <c r="Z25" i="31" s="1"/>
  <c r="X13" i="31"/>
  <c r="AF12" i="31"/>
  <c r="AG12" i="31" s="1"/>
  <c r="AB12" i="31"/>
  <c r="AA12" i="31"/>
  <c r="U12" i="31"/>
  <c r="AK240" i="30"/>
  <c r="AF240" i="30"/>
  <c r="Z240" i="30"/>
  <c r="X240" i="30"/>
  <c r="AA240" i="30" s="1"/>
  <c r="AB240" i="30" s="1"/>
  <c r="AK239" i="30"/>
  <c r="AF239" i="30"/>
  <c r="AA239" i="30"/>
  <c r="AB239" i="30" s="1"/>
  <c r="Z239" i="30"/>
  <c r="X239" i="30"/>
  <c r="AK238" i="30"/>
  <c r="AF238" i="30"/>
  <c r="Z238" i="30"/>
  <c r="X238" i="30"/>
  <c r="AA238" i="30" s="1"/>
  <c r="AB238" i="30" s="1"/>
  <c r="AK237" i="30"/>
  <c r="AF237" i="30"/>
  <c r="Z237" i="30"/>
  <c r="X237" i="30"/>
  <c r="AA237" i="30" s="1"/>
  <c r="AB237" i="30" s="1"/>
  <c r="AK236" i="30"/>
  <c r="AF236" i="30"/>
  <c r="AA236" i="30"/>
  <c r="AB236" i="30" s="1"/>
  <c r="Z236" i="30"/>
  <c r="X236" i="30"/>
  <c r="AK235" i="30"/>
  <c r="AF235" i="30"/>
  <c r="AA235" i="30"/>
  <c r="AB235" i="30" s="1"/>
  <c r="Z235" i="30"/>
  <c r="X235" i="30"/>
  <c r="AK234" i="30"/>
  <c r="AF234" i="30"/>
  <c r="Z234" i="30"/>
  <c r="X234" i="30"/>
  <c r="AA234" i="30" s="1"/>
  <c r="AB234" i="30" s="1"/>
  <c r="AK233" i="30"/>
  <c r="AF233" i="30"/>
  <c r="Z233" i="30"/>
  <c r="X233" i="30"/>
  <c r="AA233" i="30" s="1"/>
  <c r="AB233" i="30" s="1"/>
  <c r="AK232" i="30"/>
  <c r="AF232" i="30"/>
  <c r="AA232" i="30"/>
  <c r="AB232" i="30" s="1"/>
  <c r="Z232" i="30"/>
  <c r="X232" i="30"/>
  <c r="AK231" i="30"/>
  <c r="AF231" i="30"/>
  <c r="AA231" i="30"/>
  <c r="AB231" i="30" s="1"/>
  <c r="Z231" i="30"/>
  <c r="X231" i="30"/>
  <c r="AK230" i="30"/>
  <c r="AF230" i="30"/>
  <c r="Z230" i="30"/>
  <c r="X230" i="30"/>
  <c r="AA230" i="30" s="1"/>
  <c r="AB230" i="30" s="1"/>
  <c r="AK229" i="30"/>
  <c r="AF229" i="30"/>
  <c r="Z229" i="30"/>
  <c r="X229" i="30"/>
  <c r="AA229" i="30" s="1"/>
  <c r="AB229" i="30" s="1"/>
  <c r="AK228" i="30"/>
  <c r="AF228" i="30"/>
  <c r="AA228" i="30"/>
  <c r="AB228" i="30" s="1"/>
  <c r="Z228" i="30"/>
  <c r="X228" i="30"/>
  <c r="AK227" i="30"/>
  <c r="AF227" i="30"/>
  <c r="AA227" i="30"/>
  <c r="AB227" i="30" s="1"/>
  <c r="Z227" i="30"/>
  <c r="X227" i="30"/>
  <c r="AK226" i="30"/>
  <c r="AF226" i="30"/>
  <c r="Z226" i="30"/>
  <c r="X226" i="30"/>
  <c r="AA226" i="30" s="1"/>
  <c r="AB226" i="30" s="1"/>
  <c r="AK225" i="30"/>
  <c r="AF225" i="30"/>
  <c r="Z225" i="30"/>
  <c r="X225" i="30"/>
  <c r="AA225" i="30" s="1"/>
  <c r="AB225" i="30" s="1"/>
  <c r="AK224" i="30"/>
  <c r="AF224" i="30"/>
  <c r="AA224" i="30"/>
  <c r="AB224" i="30" s="1"/>
  <c r="Z224" i="30"/>
  <c r="X224" i="30"/>
  <c r="AK223" i="30"/>
  <c r="AF223" i="30"/>
  <c r="AA223" i="30"/>
  <c r="AB223" i="30" s="1"/>
  <c r="Z223" i="30"/>
  <c r="X223" i="30"/>
  <c r="AK222" i="30"/>
  <c r="AF222" i="30"/>
  <c r="Z222" i="30"/>
  <c r="X222" i="30"/>
  <c r="AA222" i="30" s="1"/>
  <c r="AB222" i="30" s="1"/>
  <c r="AK221" i="30"/>
  <c r="AF221" i="30"/>
  <c r="Z221" i="30"/>
  <c r="X221" i="30"/>
  <c r="AA221" i="30" s="1"/>
  <c r="AB221" i="30" s="1"/>
  <c r="AK220" i="30"/>
  <c r="AF220" i="30"/>
  <c r="AA220" i="30"/>
  <c r="AB220" i="30" s="1"/>
  <c r="Z220" i="30"/>
  <c r="X220" i="30"/>
  <c r="AK219" i="30"/>
  <c r="AF219" i="30"/>
  <c r="AA219" i="30"/>
  <c r="AB219" i="30" s="1"/>
  <c r="Z219" i="30"/>
  <c r="X219" i="30"/>
  <c r="AK218" i="30"/>
  <c r="AF218" i="30"/>
  <c r="Z218" i="30"/>
  <c r="X218" i="30"/>
  <c r="AA218" i="30" s="1"/>
  <c r="AB218" i="30" s="1"/>
  <c r="AK217" i="30"/>
  <c r="AF217" i="30"/>
  <c r="Z217" i="30"/>
  <c r="X217" i="30"/>
  <c r="AA217" i="30" s="1"/>
  <c r="AB217" i="30" s="1"/>
  <c r="AK216" i="30"/>
  <c r="AF216" i="30"/>
  <c r="Z216" i="30"/>
  <c r="X216" i="30"/>
  <c r="AA216" i="30" s="1"/>
  <c r="AB216" i="30" s="1"/>
  <c r="AK215" i="30"/>
  <c r="AF215" i="30"/>
  <c r="AA215" i="30"/>
  <c r="AB215" i="30" s="1"/>
  <c r="Z215" i="30"/>
  <c r="X215" i="30"/>
  <c r="AK214" i="30"/>
  <c r="AF214" i="30"/>
  <c r="Z214" i="30"/>
  <c r="X214" i="30"/>
  <c r="AA214" i="30" s="1"/>
  <c r="AB214" i="30" s="1"/>
  <c r="AK213" i="30"/>
  <c r="AF213" i="30"/>
  <c r="Z213" i="30"/>
  <c r="X213" i="30"/>
  <c r="AA213" i="30" s="1"/>
  <c r="AB213" i="30" s="1"/>
  <c r="AK212" i="30"/>
  <c r="AF212" i="30"/>
  <c r="AA212" i="30"/>
  <c r="AB212" i="30" s="1"/>
  <c r="Z212" i="30"/>
  <c r="X212" i="30"/>
  <c r="AK211" i="30"/>
  <c r="AF211" i="30"/>
  <c r="AA211" i="30"/>
  <c r="AB211" i="30" s="1"/>
  <c r="Z211" i="30"/>
  <c r="X211" i="30"/>
  <c r="AK210" i="30"/>
  <c r="AF210" i="30"/>
  <c r="Z210" i="30"/>
  <c r="X210" i="30"/>
  <c r="AA210" i="30" s="1"/>
  <c r="AB210" i="30" s="1"/>
  <c r="AK209" i="30"/>
  <c r="AF209" i="30"/>
  <c r="Z209" i="30"/>
  <c r="X209" i="30"/>
  <c r="AA209" i="30" s="1"/>
  <c r="AB209" i="30" s="1"/>
  <c r="AK208" i="30"/>
  <c r="AF208" i="30"/>
  <c r="AA208" i="30"/>
  <c r="AB208" i="30" s="1"/>
  <c r="Z208" i="30"/>
  <c r="X208" i="30"/>
  <c r="AK207" i="30"/>
  <c r="AF207" i="30"/>
  <c r="AA207" i="30"/>
  <c r="AB207" i="30" s="1"/>
  <c r="Z207" i="30"/>
  <c r="X207" i="30"/>
  <c r="AK206" i="30"/>
  <c r="AF206" i="30"/>
  <c r="Z206" i="30"/>
  <c r="X206" i="30"/>
  <c r="AA206" i="30" s="1"/>
  <c r="AB206" i="30" s="1"/>
  <c r="AK205" i="30"/>
  <c r="AF205" i="30"/>
  <c r="Z205" i="30"/>
  <c r="X205" i="30"/>
  <c r="AA205" i="30" s="1"/>
  <c r="AB205" i="30" s="1"/>
  <c r="AK204" i="30"/>
  <c r="AF204" i="30"/>
  <c r="AA204" i="30"/>
  <c r="AB204" i="30" s="1"/>
  <c r="Z204" i="30"/>
  <c r="X204" i="30"/>
  <c r="AK203" i="30"/>
  <c r="AF203" i="30"/>
  <c r="AA203" i="30"/>
  <c r="AB203" i="30" s="1"/>
  <c r="Z203" i="30"/>
  <c r="X203" i="30"/>
  <c r="AK202" i="30"/>
  <c r="AF202" i="30"/>
  <c r="Z202" i="30"/>
  <c r="X202" i="30"/>
  <c r="AA202" i="30" s="1"/>
  <c r="AB202" i="30" s="1"/>
  <c r="AK201" i="30"/>
  <c r="AF201" i="30"/>
  <c r="Z201" i="30"/>
  <c r="X201" i="30"/>
  <c r="AA201" i="30" s="1"/>
  <c r="AB201" i="30" s="1"/>
  <c r="AK200" i="30"/>
  <c r="AF200" i="30"/>
  <c r="AA200" i="30"/>
  <c r="AB200" i="30" s="1"/>
  <c r="Z200" i="30"/>
  <c r="X200" i="30"/>
  <c r="AK199" i="30"/>
  <c r="AF199" i="30"/>
  <c r="AA199" i="30"/>
  <c r="AB199" i="30" s="1"/>
  <c r="Z199" i="30"/>
  <c r="X199" i="30"/>
  <c r="AK198" i="30"/>
  <c r="AF198" i="30"/>
  <c r="Z198" i="30"/>
  <c r="X198" i="30"/>
  <c r="AA198" i="30" s="1"/>
  <c r="AB198" i="30" s="1"/>
  <c r="AK197" i="30"/>
  <c r="AF197" i="30"/>
  <c r="Z197" i="30"/>
  <c r="X197" i="30"/>
  <c r="AA197" i="30" s="1"/>
  <c r="AB197" i="30" s="1"/>
  <c r="AK196" i="30"/>
  <c r="AF196" i="30"/>
  <c r="Z196" i="30"/>
  <c r="X196" i="30"/>
  <c r="AA196" i="30" s="1"/>
  <c r="AB196" i="30" s="1"/>
  <c r="AK195" i="30"/>
  <c r="AF195" i="30"/>
  <c r="AA195" i="30"/>
  <c r="AB195" i="30" s="1"/>
  <c r="Z195" i="30"/>
  <c r="X195" i="30"/>
  <c r="AK194" i="30"/>
  <c r="AF194" i="30"/>
  <c r="Z194" i="30"/>
  <c r="X194" i="30"/>
  <c r="AA194" i="30" s="1"/>
  <c r="AB194" i="30" s="1"/>
  <c r="AK193" i="30"/>
  <c r="AF193" i="30"/>
  <c r="Z193" i="30"/>
  <c r="X193" i="30"/>
  <c r="AA193" i="30" s="1"/>
  <c r="AB193" i="30" s="1"/>
  <c r="AK192" i="30"/>
  <c r="AF192" i="30"/>
  <c r="Z192" i="30"/>
  <c r="X192" i="30"/>
  <c r="AA192" i="30" s="1"/>
  <c r="AB192" i="30" s="1"/>
  <c r="AK191" i="30"/>
  <c r="AF191" i="30"/>
  <c r="AA191" i="30"/>
  <c r="AB191" i="30" s="1"/>
  <c r="Z191" i="30"/>
  <c r="X191" i="30"/>
  <c r="AK190" i="30"/>
  <c r="AF190" i="30"/>
  <c r="Z190" i="30"/>
  <c r="X190" i="30"/>
  <c r="AA190" i="30" s="1"/>
  <c r="AB190" i="30" s="1"/>
  <c r="AK189" i="30"/>
  <c r="AF189" i="30"/>
  <c r="Z189" i="30"/>
  <c r="X189" i="30"/>
  <c r="AA189" i="30" s="1"/>
  <c r="AB189" i="30" s="1"/>
  <c r="AK188" i="30"/>
  <c r="AF188" i="30"/>
  <c r="Z188" i="30"/>
  <c r="X188" i="30"/>
  <c r="AA188" i="30" s="1"/>
  <c r="AB188" i="30" s="1"/>
  <c r="AK187" i="30"/>
  <c r="AF187" i="30"/>
  <c r="AA187" i="30"/>
  <c r="AB187" i="30" s="1"/>
  <c r="Z187" i="30"/>
  <c r="X187" i="30"/>
  <c r="AK186" i="30"/>
  <c r="AF186" i="30"/>
  <c r="Z186" i="30"/>
  <c r="X186" i="30"/>
  <c r="AA186" i="30" s="1"/>
  <c r="AB186" i="30" s="1"/>
  <c r="AK185" i="30"/>
  <c r="AF185" i="30"/>
  <c r="Z185" i="30"/>
  <c r="X185" i="30"/>
  <c r="AA185" i="30" s="1"/>
  <c r="AB185" i="30" s="1"/>
  <c r="AK184" i="30"/>
  <c r="AF184" i="30"/>
  <c r="Z184" i="30"/>
  <c r="X184" i="30"/>
  <c r="AA184" i="30" s="1"/>
  <c r="AB184" i="30" s="1"/>
  <c r="AK183" i="30"/>
  <c r="AF183" i="30"/>
  <c r="AA183" i="30"/>
  <c r="AB183" i="30" s="1"/>
  <c r="Z183" i="30"/>
  <c r="X183" i="30"/>
  <c r="AK182" i="30"/>
  <c r="AF182" i="30"/>
  <c r="Z182" i="30"/>
  <c r="X182" i="30"/>
  <c r="AA182" i="30" s="1"/>
  <c r="AB182" i="30" s="1"/>
  <c r="AK181" i="30"/>
  <c r="AF181" i="30"/>
  <c r="Z181" i="30"/>
  <c r="X181" i="30"/>
  <c r="AA181" i="30" s="1"/>
  <c r="AB181" i="30" s="1"/>
  <c r="AK180" i="30"/>
  <c r="AF180" i="30"/>
  <c r="Z180" i="30"/>
  <c r="X180" i="30"/>
  <c r="AA180" i="30" s="1"/>
  <c r="AB180" i="30" s="1"/>
  <c r="AK179" i="30"/>
  <c r="AF179" i="30"/>
  <c r="AA179" i="30"/>
  <c r="AB179" i="30" s="1"/>
  <c r="Z179" i="30"/>
  <c r="X179" i="30"/>
  <c r="AK178" i="30"/>
  <c r="AF178" i="30"/>
  <c r="Z178" i="30"/>
  <c r="X178" i="30"/>
  <c r="AA178" i="30" s="1"/>
  <c r="AB178" i="30" s="1"/>
  <c r="AK177" i="30"/>
  <c r="AF177" i="30"/>
  <c r="Z177" i="30"/>
  <c r="X177" i="30"/>
  <c r="AA177" i="30" s="1"/>
  <c r="AB177" i="30" s="1"/>
  <c r="AK176" i="30"/>
  <c r="AF176" i="30"/>
  <c r="Z176" i="30"/>
  <c r="X176" i="30"/>
  <c r="AA176" i="30" s="1"/>
  <c r="AB176" i="30" s="1"/>
  <c r="AK175" i="30"/>
  <c r="AF175" i="30"/>
  <c r="AA175" i="30"/>
  <c r="AB175" i="30" s="1"/>
  <c r="Z175" i="30"/>
  <c r="X175" i="30"/>
  <c r="AK174" i="30"/>
  <c r="AF174" i="30"/>
  <c r="Z174" i="30"/>
  <c r="X174" i="30"/>
  <c r="AA174" i="30" s="1"/>
  <c r="AB174" i="30" s="1"/>
  <c r="AK173" i="30"/>
  <c r="AF173" i="30"/>
  <c r="Z173" i="30"/>
  <c r="X173" i="30"/>
  <c r="AA173" i="30" s="1"/>
  <c r="AB173" i="30" s="1"/>
  <c r="AK172" i="30"/>
  <c r="AF172" i="30"/>
  <c r="Z172" i="30"/>
  <c r="X172" i="30"/>
  <c r="AA172" i="30" s="1"/>
  <c r="AB172" i="30" s="1"/>
  <c r="AK171" i="30"/>
  <c r="AF171" i="30"/>
  <c r="AA171" i="30"/>
  <c r="AB171" i="30" s="1"/>
  <c r="Z171" i="30"/>
  <c r="X171" i="30"/>
  <c r="AK170" i="30"/>
  <c r="AF170" i="30"/>
  <c r="Z170" i="30"/>
  <c r="X170" i="30"/>
  <c r="AA170" i="30" s="1"/>
  <c r="AB170" i="30" s="1"/>
  <c r="AK169" i="30"/>
  <c r="AF169" i="30"/>
  <c r="Z169" i="30"/>
  <c r="X169" i="30"/>
  <c r="AA169" i="30" s="1"/>
  <c r="AB169" i="30" s="1"/>
  <c r="AK168" i="30"/>
  <c r="AF168" i="30"/>
  <c r="Z168" i="30"/>
  <c r="X168" i="30"/>
  <c r="AA168" i="30" s="1"/>
  <c r="AB168" i="30" s="1"/>
  <c r="AK167" i="30"/>
  <c r="AF167" i="30"/>
  <c r="AA167" i="30"/>
  <c r="AB167" i="30" s="1"/>
  <c r="Z167" i="30"/>
  <c r="X167" i="30"/>
  <c r="AK166" i="30"/>
  <c r="AF166" i="30"/>
  <c r="Z166" i="30"/>
  <c r="X166" i="30"/>
  <c r="AA166" i="30" s="1"/>
  <c r="AB166" i="30" s="1"/>
  <c r="AK165" i="30"/>
  <c r="AF165" i="30"/>
  <c r="Z165" i="30"/>
  <c r="X165" i="30"/>
  <c r="AA165" i="30" s="1"/>
  <c r="AB165" i="30" s="1"/>
  <c r="AK164" i="30"/>
  <c r="AF164" i="30"/>
  <c r="Z164" i="30"/>
  <c r="X164" i="30"/>
  <c r="AA164" i="30" s="1"/>
  <c r="AB164" i="30" s="1"/>
  <c r="AK163" i="30"/>
  <c r="AF163" i="30"/>
  <c r="AA163" i="30"/>
  <c r="AB163" i="30" s="1"/>
  <c r="Z163" i="30"/>
  <c r="X163" i="30"/>
  <c r="AK162" i="30"/>
  <c r="AF162" i="30"/>
  <c r="Z162" i="30"/>
  <c r="X162" i="30"/>
  <c r="AA162" i="30" s="1"/>
  <c r="AB162" i="30" s="1"/>
  <c r="AK161" i="30"/>
  <c r="AF161" i="30"/>
  <c r="Z161" i="30"/>
  <c r="X161" i="30"/>
  <c r="AA161" i="30" s="1"/>
  <c r="AB161" i="30" s="1"/>
  <c r="AK160" i="30"/>
  <c r="AF160" i="30"/>
  <c r="Z160" i="30"/>
  <c r="X160" i="30"/>
  <c r="AA160" i="30" s="1"/>
  <c r="AB160" i="30" s="1"/>
  <c r="AK159" i="30"/>
  <c r="AF159" i="30"/>
  <c r="AA159" i="30"/>
  <c r="AB159" i="30" s="1"/>
  <c r="Z159" i="30"/>
  <c r="X159" i="30"/>
  <c r="AK158" i="30"/>
  <c r="AF158" i="30"/>
  <c r="Z158" i="30"/>
  <c r="X158" i="30"/>
  <c r="AA158" i="30" s="1"/>
  <c r="AB158" i="30" s="1"/>
  <c r="AK157" i="30"/>
  <c r="AF157" i="30"/>
  <c r="Z157" i="30"/>
  <c r="X157" i="30"/>
  <c r="AA157" i="30" s="1"/>
  <c r="AB157" i="30" s="1"/>
  <c r="AK156" i="30"/>
  <c r="AF156" i="30"/>
  <c r="Z156" i="30"/>
  <c r="X156" i="30"/>
  <c r="AA156" i="30" s="1"/>
  <c r="AB156" i="30" s="1"/>
  <c r="AK155" i="30"/>
  <c r="AF155" i="30"/>
  <c r="AA155" i="30"/>
  <c r="AB155" i="30" s="1"/>
  <c r="Z155" i="30"/>
  <c r="X155" i="30"/>
  <c r="AK154" i="30"/>
  <c r="AF154" i="30"/>
  <c r="Z154" i="30"/>
  <c r="X154" i="30"/>
  <c r="AA154" i="30" s="1"/>
  <c r="AB154" i="30" s="1"/>
  <c r="AK153" i="30"/>
  <c r="AF153" i="30"/>
  <c r="Z153" i="30"/>
  <c r="X153" i="30"/>
  <c r="AA153" i="30" s="1"/>
  <c r="AB153" i="30" s="1"/>
  <c r="AK152" i="30"/>
  <c r="AF152" i="30"/>
  <c r="AA152" i="30"/>
  <c r="AB152" i="30" s="1"/>
  <c r="Z152" i="30"/>
  <c r="X152" i="30"/>
  <c r="AK151" i="30"/>
  <c r="AF151" i="30"/>
  <c r="AA151" i="30"/>
  <c r="AB151" i="30" s="1"/>
  <c r="Z151" i="30"/>
  <c r="X151" i="30"/>
  <c r="AK150" i="30"/>
  <c r="AF150" i="30"/>
  <c r="Z150" i="30"/>
  <c r="X150" i="30"/>
  <c r="AA150" i="30" s="1"/>
  <c r="AB150" i="30" s="1"/>
  <c r="AK149" i="30"/>
  <c r="AF149" i="30"/>
  <c r="Z149" i="30"/>
  <c r="X149" i="30"/>
  <c r="AA149" i="30" s="1"/>
  <c r="AB149" i="30" s="1"/>
  <c r="AK148" i="30"/>
  <c r="AF148" i="30"/>
  <c r="AA148" i="30"/>
  <c r="AB148" i="30" s="1"/>
  <c r="Z148" i="30"/>
  <c r="X148" i="30"/>
  <c r="AK147" i="30"/>
  <c r="AF147" i="30"/>
  <c r="AA147" i="30"/>
  <c r="AB147" i="30" s="1"/>
  <c r="Z147" i="30"/>
  <c r="X147" i="30"/>
  <c r="AK146" i="30"/>
  <c r="AF146" i="30"/>
  <c r="Z146" i="30"/>
  <c r="X146" i="30"/>
  <c r="AA146" i="30" s="1"/>
  <c r="AB146" i="30" s="1"/>
  <c r="AK145" i="30"/>
  <c r="AF145" i="30"/>
  <c r="Z145" i="30"/>
  <c r="X145" i="30"/>
  <c r="AA145" i="30" s="1"/>
  <c r="AB145" i="30" s="1"/>
  <c r="AK144" i="30"/>
  <c r="AF144" i="30"/>
  <c r="AA144" i="30"/>
  <c r="AB144" i="30" s="1"/>
  <c r="Z144" i="30"/>
  <c r="X144" i="30"/>
  <c r="AK143" i="30"/>
  <c r="AF143" i="30"/>
  <c r="AA143" i="30"/>
  <c r="AB143" i="30" s="1"/>
  <c r="Z143" i="30"/>
  <c r="X143" i="30"/>
  <c r="AK142" i="30"/>
  <c r="AF142" i="30"/>
  <c r="Z142" i="30"/>
  <c r="X142" i="30"/>
  <c r="AA142" i="30" s="1"/>
  <c r="AB142" i="30" s="1"/>
  <c r="AK141" i="30"/>
  <c r="AF141" i="30"/>
  <c r="Z141" i="30"/>
  <c r="X141" i="30"/>
  <c r="AA141" i="30" s="1"/>
  <c r="AB141" i="30" s="1"/>
  <c r="AK140" i="30"/>
  <c r="AF140" i="30"/>
  <c r="AA140" i="30"/>
  <c r="AB140" i="30" s="1"/>
  <c r="Z140" i="30"/>
  <c r="X140" i="30"/>
  <c r="AK139" i="30"/>
  <c r="AF139" i="30"/>
  <c r="AA139" i="30"/>
  <c r="AB139" i="30" s="1"/>
  <c r="Z139" i="30"/>
  <c r="X139" i="30"/>
  <c r="AK138" i="30"/>
  <c r="AF138" i="30"/>
  <c r="Z138" i="30"/>
  <c r="X138" i="30"/>
  <c r="AA138" i="30" s="1"/>
  <c r="AB138" i="30" s="1"/>
  <c r="AK137" i="30"/>
  <c r="AF137" i="30"/>
  <c r="Z137" i="30"/>
  <c r="X137" i="30"/>
  <c r="AA137" i="30" s="1"/>
  <c r="AB137" i="30" s="1"/>
  <c r="AK136" i="30"/>
  <c r="AF136" i="30"/>
  <c r="AA136" i="30"/>
  <c r="AB136" i="30" s="1"/>
  <c r="Z136" i="30"/>
  <c r="X136" i="30"/>
  <c r="AK135" i="30"/>
  <c r="AF135" i="30"/>
  <c r="AA135" i="30"/>
  <c r="AB135" i="30" s="1"/>
  <c r="Z135" i="30"/>
  <c r="X135" i="30"/>
  <c r="AK134" i="30"/>
  <c r="AF134" i="30"/>
  <c r="Z134" i="30"/>
  <c r="X134" i="30"/>
  <c r="AA134" i="30" s="1"/>
  <c r="AB134" i="30" s="1"/>
  <c r="AK133" i="30"/>
  <c r="AF133" i="30"/>
  <c r="Z133" i="30"/>
  <c r="X133" i="30"/>
  <c r="AA133" i="30" s="1"/>
  <c r="AB133" i="30" s="1"/>
  <c r="AK132" i="30"/>
  <c r="AF132" i="30"/>
  <c r="AA132" i="30"/>
  <c r="AB132" i="30" s="1"/>
  <c r="Z132" i="30"/>
  <c r="X132" i="30"/>
  <c r="AK131" i="30"/>
  <c r="AF131" i="30"/>
  <c r="AA131" i="30"/>
  <c r="AB131" i="30" s="1"/>
  <c r="Z131" i="30"/>
  <c r="X131" i="30"/>
  <c r="AK130" i="30"/>
  <c r="AF130" i="30"/>
  <c r="Z130" i="30"/>
  <c r="X130" i="30"/>
  <c r="AA130" i="30" s="1"/>
  <c r="AB130" i="30" s="1"/>
  <c r="AK129" i="30"/>
  <c r="AF129" i="30"/>
  <c r="Z129" i="30"/>
  <c r="X129" i="30"/>
  <c r="AA129" i="30" s="1"/>
  <c r="AB129" i="30" s="1"/>
  <c r="AK128" i="30"/>
  <c r="AF128" i="30"/>
  <c r="Z128" i="30"/>
  <c r="X128" i="30"/>
  <c r="AA128" i="30" s="1"/>
  <c r="AB128" i="30" s="1"/>
  <c r="AK127" i="30"/>
  <c r="AF127" i="30"/>
  <c r="AA127" i="30"/>
  <c r="AB127" i="30" s="1"/>
  <c r="Z127" i="30"/>
  <c r="X127" i="30"/>
  <c r="AK126" i="30"/>
  <c r="AF126" i="30"/>
  <c r="Z126" i="30"/>
  <c r="X126" i="30"/>
  <c r="AA126" i="30" s="1"/>
  <c r="AB126" i="30" s="1"/>
  <c r="AK125" i="30"/>
  <c r="AF125" i="30"/>
  <c r="Z125" i="30"/>
  <c r="X125" i="30"/>
  <c r="AA125" i="30" s="1"/>
  <c r="AB125" i="30" s="1"/>
  <c r="AK124" i="30"/>
  <c r="AF124" i="30"/>
  <c r="Z124" i="30"/>
  <c r="X124" i="30"/>
  <c r="AA124" i="30" s="1"/>
  <c r="AB124" i="30" s="1"/>
  <c r="AK123" i="30"/>
  <c r="AF123" i="30"/>
  <c r="AA123" i="30"/>
  <c r="AB123" i="30" s="1"/>
  <c r="Z123" i="30"/>
  <c r="X123" i="30"/>
  <c r="AK122" i="30"/>
  <c r="AF122" i="30"/>
  <c r="Z122" i="30"/>
  <c r="X122" i="30"/>
  <c r="AA122" i="30" s="1"/>
  <c r="AB122" i="30" s="1"/>
  <c r="AK121" i="30"/>
  <c r="AF121" i="30"/>
  <c r="Z121" i="30"/>
  <c r="X121" i="30"/>
  <c r="AA121" i="30" s="1"/>
  <c r="AB121" i="30" s="1"/>
  <c r="AK120" i="30"/>
  <c r="AF120" i="30"/>
  <c r="Z120" i="30"/>
  <c r="X120" i="30"/>
  <c r="AA120" i="30" s="1"/>
  <c r="AB120" i="30" s="1"/>
  <c r="AK119" i="30"/>
  <c r="AF119" i="30"/>
  <c r="Z119" i="30"/>
  <c r="X119" i="30"/>
  <c r="AA119" i="30" s="1"/>
  <c r="AB119" i="30" s="1"/>
  <c r="AK118" i="30"/>
  <c r="AF118" i="30"/>
  <c r="AA118" i="30"/>
  <c r="AB118" i="30" s="1"/>
  <c r="Z118" i="30"/>
  <c r="X118" i="30"/>
  <c r="AK117" i="30"/>
  <c r="AF117" i="30"/>
  <c r="Z117" i="30"/>
  <c r="X117" i="30"/>
  <c r="AA117" i="30" s="1"/>
  <c r="AB117" i="30" s="1"/>
  <c r="AK116" i="30"/>
  <c r="AF116" i="30"/>
  <c r="Z116" i="30"/>
  <c r="X116" i="30"/>
  <c r="AA116" i="30" s="1"/>
  <c r="AB116" i="30" s="1"/>
  <c r="AK115" i="30"/>
  <c r="AF115" i="30"/>
  <c r="AA115" i="30"/>
  <c r="AB115" i="30" s="1"/>
  <c r="Z115" i="30"/>
  <c r="X115" i="30"/>
  <c r="AK114" i="30"/>
  <c r="AF114" i="30"/>
  <c r="AA114" i="30"/>
  <c r="AB114" i="30" s="1"/>
  <c r="Z114" i="30"/>
  <c r="X114" i="30"/>
  <c r="R114" i="30"/>
  <c r="R120" i="30" s="1"/>
  <c r="AK113" i="30"/>
  <c r="AF113" i="30"/>
  <c r="Z113" i="30"/>
  <c r="X113" i="30"/>
  <c r="AA113" i="30" s="1"/>
  <c r="AB113" i="30" s="1"/>
  <c r="AK112" i="30"/>
  <c r="AF112" i="30"/>
  <c r="Z112" i="30"/>
  <c r="AA112" i="30" s="1"/>
  <c r="AB112" i="30" s="1"/>
  <c r="X112" i="30"/>
  <c r="R112" i="30"/>
  <c r="AK111" i="30"/>
  <c r="AF111" i="30"/>
  <c r="Z111" i="30"/>
  <c r="X111" i="30"/>
  <c r="AA111" i="30" s="1"/>
  <c r="AB111" i="30" s="1"/>
  <c r="AK110" i="30"/>
  <c r="AF110" i="30"/>
  <c r="Z110" i="30"/>
  <c r="X110" i="30"/>
  <c r="AA110" i="30" s="1"/>
  <c r="AB110" i="30" s="1"/>
  <c r="U110" i="30"/>
  <c r="T110" i="30"/>
  <c r="R110" i="30"/>
  <c r="AK109" i="30"/>
  <c r="AF109" i="30"/>
  <c r="AA109" i="30"/>
  <c r="AB109" i="30" s="1"/>
  <c r="Z109" i="30"/>
  <c r="X109" i="30"/>
  <c r="AK108" i="30"/>
  <c r="AF108" i="30"/>
  <c r="Z108" i="30"/>
  <c r="X108" i="30"/>
  <c r="AA108" i="30" s="1"/>
  <c r="AB108" i="30" s="1"/>
  <c r="AK107" i="30"/>
  <c r="AF107" i="30"/>
  <c r="Z107" i="30"/>
  <c r="AA107" i="30" s="1"/>
  <c r="AB107" i="30" s="1"/>
  <c r="X107" i="30"/>
  <c r="AK106" i="30"/>
  <c r="AF106" i="30"/>
  <c r="Z106" i="30"/>
  <c r="AA106" i="30" s="1"/>
  <c r="AB106" i="30" s="1"/>
  <c r="X106" i="30"/>
  <c r="AK105" i="30"/>
  <c r="AF105" i="30"/>
  <c r="AA105" i="30"/>
  <c r="AB105" i="30" s="1"/>
  <c r="Z105" i="30"/>
  <c r="X105" i="30"/>
  <c r="AK104" i="30"/>
  <c r="AF104" i="30"/>
  <c r="Z104" i="30"/>
  <c r="X104" i="30"/>
  <c r="AA104" i="30" s="1"/>
  <c r="AB104" i="30" s="1"/>
  <c r="AK103" i="30"/>
  <c r="AF103" i="30"/>
  <c r="Z103" i="30"/>
  <c r="AA103" i="30" s="1"/>
  <c r="AB103" i="30" s="1"/>
  <c r="X103" i="30"/>
  <c r="AK102" i="30"/>
  <c r="AF102" i="30"/>
  <c r="Z102" i="30"/>
  <c r="AA102" i="30" s="1"/>
  <c r="AB102" i="30" s="1"/>
  <c r="X102" i="30"/>
  <c r="AK101" i="30"/>
  <c r="AF101" i="30"/>
  <c r="Z101" i="30"/>
  <c r="AA101" i="30" s="1"/>
  <c r="AB101" i="30" s="1"/>
  <c r="X101" i="30"/>
  <c r="AK100" i="30"/>
  <c r="AF100" i="30"/>
  <c r="AA100" i="30"/>
  <c r="AB100" i="30" s="1"/>
  <c r="Z100" i="30"/>
  <c r="X100" i="30"/>
  <c r="AK99" i="30"/>
  <c r="AF99" i="30"/>
  <c r="Z99" i="30"/>
  <c r="X99" i="30"/>
  <c r="AA99" i="30" s="1"/>
  <c r="AB99" i="30" s="1"/>
  <c r="AK98" i="30"/>
  <c r="AF98" i="30"/>
  <c r="Z98" i="30"/>
  <c r="AA98" i="30" s="1"/>
  <c r="AB98" i="30" s="1"/>
  <c r="X98" i="30"/>
  <c r="AK97" i="30"/>
  <c r="AF97" i="30"/>
  <c r="Z97" i="30"/>
  <c r="AA97" i="30" s="1"/>
  <c r="AB97" i="30" s="1"/>
  <c r="X97" i="30"/>
  <c r="AK96" i="30"/>
  <c r="AF96" i="30"/>
  <c r="Z96" i="30"/>
  <c r="X96" i="30"/>
  <c r="AA96" i="30" s="1"/>
  <c r="AB96" i="30" s="1"/>
  <c r="AK95" i="30"/>
  <c r="AF95" i="30"/>
  <c r="Z95" i="30"/>
  <c r="X95" i="30"/>
  <c r="AA95" i="30" s="1"/>
  <c r="AB95" i="30" s="1"/>
  <c r="AK94" i="30"/>
  <c r="AF94" i="30"/>
  <c r="AA94" i="30"/>
  <c r="AB94" i="30" s="1"/>
  <c r="Z94" i="30"/>
  <c r="X94" i="30"/>
  <c r="AK93" i="30"/>
  <c r="AF93" i="30"/>
  <c r="Z93" i="30"/>
  <c r="X93" i="30"/>
  <c r="AA93" i="30" s="1"/>
  <c r="AB93" i="30" s="1"/>
  <c r="AK92" i="30"/>
  <c r="AF92" i="30"/>
  <c r="AB92" i="30"/>
  <c r="AA92" i="30"/>
  <c r="Z92" i="30"/>
  <c r="X92" i="30"/>
  <c r="AK91" i="30"/>
  <c r="AF91" i="30"/>
  <c r="Z91" i="30"/>
  <c r="AA91" i="30" s="1"/>
  <c r="AB91" i="30" s="1"/>
  <c r="X91" i="30"/>
  <c r="AK90" i="30"/>
  <c r="AF90" i="30"/>
  <c r="AA90" i="30"/>
  <c r="AB90" i="30" s="1"/>
  <c r="Z90" i="30"/>
  <c r="X90" i="30"/>
  <c r="AK89" i="30"/>
  <c r="AF89" i="30"/>
  <c r="Z89" i="30"/>
  <c r="X89" i="30"/>
  <c r="AA89" i="30" s="1"/>
  <c r="AK88" i="30"/>
  <c r="AF88" i="30"/>
  <c r="AB88" i="30"/>
  <c r="AA88" i="30"/>
  <c r="Z88" i="30"/>
  <c r="X88" i="30"/>
  <c r="AK87" i="30"/>
  <c r="AF87" i="30"/>
  <c r="AA87" i="30"/>
  <c r="Z87" i="30"/>
  <c r="X87" i="30"/>
  <c r="AK86" i="30"/>
  <c r="AF86" i="30"/>
  <c r="Z86" i="30"/>
  <c r="AA86" i="30" s="1"/>
  <c r="AB86" i="30" s="1"/>
  <c r="X86" i="30"/>
  <c r="AK85" i="30"/>
  <c r="AF85" i="30"/>
  <c r="AA85" i="30"/>
  <c r="Z85" i="30"/>
  <c r="X85" i="30"/>
  <c r="AK84" i="30"/>
  <c r="AF84" i="30"/>
  <c r="Z84" i="30"/>
  <c r="AA84" i="30" s="1"/>
  <c r="AB84" i="30" s="1"/>
  <c r="X84" i="30"/>
  <c r="AK83" i="30"/>
  <c r="AF83" i="30"/>
  <c r="AA83" i="30"/>
  <c r="AB83" i="30" s="1"/>
  <c r="Z83" i="30"/>
  <c r="X83" i="30"/>
  <c r="AK82" i="30"/>
  <c r="AF82" i="30"/>
  <c r="Z82" i="30"/>
  <c r="X82" i="30"/>
  <c r="AA82" i="30" s="1"/>
  <c r="AB82" i="30" s="1"/>
  <c r="AK81" i="30"/>
  <c r="AF81" i="30"/>
  <c r="AB81" i="30"/>
  <c r="AA81" i="30"/>
  <c r="Z81" i="30"/>
  <c r="X81" i="30"/>
  <c r="AK80" i="30"/>
  <c r="AF80" i="30"/>
  <c r="Z80" i="30"/>
  <c r="AA80" i="30" s="1"/>
  <c r="AB80" i="30" s="1"/>
  <c r="X80" i="30"/>
  <c r="AK79" i="30"/>
  <c r="AF79" i="30"/>
  <c r="AA79" i="30"/>
  <c r="AB79" i="30" s="1"/>
  <c r="Z79" i="30"/>
  <c r="X79" i="30"/>
  <c r="AK77" i="30"/>
  <c r="Q77" i="30"/>
  <c r="AK76" i="30"/>
  <c r="AF76" i="30"/>
  <c r="AA76" i="30"/>
  <c r="AK75" i="30"/>
  <c r="AF75" i="30"/>
  <c r="AA75" i="30"/>
  <c r="AK74" i="30"/>
  <c r="AF74" i="30"/>
  <c r="AA74" i="30"/>
  <c r="AK73" i="30"/>
  <c r="AF73" i="30"/>
  <c r="AA73" i="30"/>
  <c r="AK72" i="30"/>
  <c r="AF72" i="30"/>
  <c r="AA72" i="30"/>
  <c r="AM70" i="30"/>
  <c r="AL70" i="30"/>
  <c r="AJ70" i="30"/>
  <c r="AI70" i="30"/>
  <c r="AI78" i="30" s="1"/>
  <c r="AE70" i="30"/>
  <c r="AD70" i="30"/>
  <c r="AD78" i="30" s="1"/>
  <c r="AC70" i="30"/>
  <c r="Z70" i="30"/>
  <c r="Y70" i="30"/>
  <c r="X70" i="30"/>
  <c r="W70" i="30"/>
  <c r="V70" i="30"/>
  <c r="S70" i="30"/>
  <c r="Q70" i="30"/>
  <c r="AK69" i="30"/>
  <c r="AG69" i="30"/>
  <c r="AF69" i="30"/>
  <c r="AA69" i="30"/>
  <c r="AA70" i="30" s="1"/>
  <c r="AB70" i="30" s="1"/>
  <c r="U69" i="30"/>
  <c r="AK68" i="30"/>
  <c r="AG68" i="30"/>
  <c r="AF68" i="30"/>
  <c r="AB68" i="30"/>
  <c r="AA68" i="30"/>
  <c r="U68" i="30"/>
  <c r="AK67" i="30"/>
  <c r="AF67" i="30"/>
  <c r="AG67" i="30" s="1"/>
  <c r="AB67" i="30"/>
  <c r="AA67" i="30"/>
  <c r="U67" i="30"/>
  <c r="AK66" i="30"/>
  <c r="AF66" i="30"/>
  <c r="AG66" i="30" s="1"/>
  <c r="AA66" i="30"/>
  <c r="AB66" i="30" s="1"/>
  <c r="AK65" i="30"/>
  <c r="AK70" i="30" s="1"/>
  <c r="AF65" i="30"/>
  <c r="AG65" i="30" s="1"/>
  <c r="AB65" i="30"/>
  <c r="AA65" i="30"/>
  <c r="U65" i="30"/>
  <c r="U70" i="30" s="1"/>
  <c r="AK64" i="30"/>
  <c r="AK63" i="30"/>
  <c r="AK62" i="30"/>
  <c r="AK61" i="30"/>
  <c r="AE61" i="30"/>
  <c r="AE62" i="30" s="1"/>
  <c r="AE78" i="30" s="1"/>
  <c r="AD61" i="30"/>
  <c r="AD62" i="30" s="1"/>
  <c r="AC61" i="30"/>
  <c r="AC62" i="30" s="1"/>
  <c r="Z61" i="30"/>
  <c r="Z62" i="30" s="1"/>
  <c r="Y61" i="30"/>
  <c r="Y62" i="30" s="1"/>
  <c r="X61" i="30"/>
  <c r="X62" i="30" s="1"/>
  <c r="W61" i="30"/>
  <c r="W62" i="30" s="1"/>
  <c r="V61" i="30"/>
  <c r="V62" i="30" s="1"/>
  <c r="S61" i="30"/>
  <c r="S62" i="30" s="1"/>
  <c r="Q61" i="30"/>
  <c r="Q62" i="30" s="1"/>
  <c r="AK60" i="30"/>
  <c r="AF60" i="30"/>
  <c r="AG60" i="30" s="1"/>
  <c r="AA60" i="30"/>
  <c r="AB60" i="30" s="1"/>
  <c r="U60" i="30"/>
  <c r="U61" i="30" s="1"/>
  <c r="AI59" i="30"/>
  <c r="AK59" i="30" s="1"/>
  <c r="AG59" i="30"/>
  <c r="AF59" i="30"/>
  <c r="AB59" i="30"/>
  <c r="AA59" i="30"/>
  <c r="U59" i="30"/>
  <c r="AK58" i="30"/>
  <c r="AF58" i="30"/>
  <c r="AG58" i="30" s="1"/>
  <c r="AB58" i="30"/>
  <c r="AA58" i="30"/>
  <c r="U58" i="30"/>
  <c r="AK57" i="30"/>
  <c r="AF57" i="30"/>
  <c r="AF61" i="30" s="1"/>
  <c r="AA57" i="30"/>
  <c r="AB57" i="30" s="1"/>
  <c r="U57" i="30"/>
  <c r="AK56" i="30"/>
  <c r="AK55" i="30"/>
  <c r="AE55" i="30"/>
  <c r="AD55" i="30"/>
  <c r="AC55" i="30"/>
  <c r="Z55" i="30"/>
  <c r="Y55" i="30"/>
  <c r="X55" i="30"/>
  <c r="W55" i="30"/>
  <c r="V55" i="30"/>
  <c r="S55" i="30"/>
  <c r="Q55" i="30"/>
  <c r="AK54" i="30"/>
  <c r="AF54" i="30"/>
  <c r="AG54" i="30" s="1"/>
  <c r="AB54" i="30"/>
  <c r="AA54" i="30"/>
  <c r="U54" i="30"/>
  <c r="AK53" i="30"/>
  <c r="AF53" i="30"/>
  <c r="AG53" i="30" s="1"/>
  <c r="AA53" i="30"/>
  <c r="AB53" i="30" s="1"/>
  <c r="U53" i="30"/>
  <c r="U55" i="30" s="1"/>
  <c r="AK52" i="30"/>
  <c r="AF52" i="30"/>
  <c r="AG52" i="30" s="1"/>
  <c r="AA52" i="30"/>
  <c r="AA55" i="30" s="1"/>
  <c r="AB55" i="30" s="1"/>
  <c r="U52" i="30"/>
  <c r="AK51" i="30"/>
  <c r="AM50" i="30"/>
  <c r="AL50" i="30"/>
  <c r="AJ50" i="30"/>
  <c r="AI50" i="30"/>
  <c r="AE50" i="30"/>
  <c r="AD50" i="30"/>
  <c r="AC50" i="30"/>
  <c r="Z50" i="30"/>
  <c r="Y50" i="30"/>
  <c r="X50" i="30"/>
  <c r="W50" i="30"/>
  <c r="V50" i="30"/>
  <c r="S50" i="30"/>
  <c r="Q50" i="30"/>
  <c r="AK49" i="30"/>
  <c r="AG49" i="30"/>
  <c r="AF49" i="30"/>
  <c r="AA49" i="30"/>
  <c r="AA50" i="30" s="1"/>
  <c r="AB50" i="30" s="1"/>
  <c r="U49" i="30"/>
  <c r="AK48" i="30"/>
  <c r="AG48" i="30"/>
  <c r="AF48" i="30"/>
  <c r="AB48" i="30"/>
  <c r="AA48" i="30"/>
  <c r="U48" i="30"/>
  <c r="AK47" i="30"/>
  <c r="AF47" i="30"/>
  <c r="AG47" i="30" s="1"/>
  <c r="AB47" i="30"/>
  <c r="AA47" i="30"/>
  <c r="U47" i="30"/>
  <c r="AK46" i="30"/>
  <c r="AF46" i="30"/>
  <c r="AG46" i="30" s="1"/>
  <c r="AA46" i="30"/>
  <c r="AB46" i="30" s="1"/>
  <c r="AK45" i="30"/>
  <c r="AF45" i="30"/>
  <c r="AG45" i="30" s="1"/>
  <c r="AA45" i="30"/>
  <c r="AB45" i="30" s="1"/>
  <c r="AK44" i="30"/>
  <c r="AK50" i="30" s="1"/>
  <c r="AF44" i="30"/>
  <c r="AG44" i="30" s="1"/>
  <c r="AB44" i="30"/>
  <c r="AA44" i="30"/>
  <c r="U44" i="30"/>
  <c r="AK43" i="30"/>
  <c r="AF43" i="30"/>
  <c r="AF50" i="30" s="1"/>
  <c r="AG50" i="30" s="1"/>
  <c r="AA43" i="30"/>
  <c r="AB43" i="30" s="1"/>
  <c r="U43" i="30"/>
  <c r="U50" i="30" s="1"/>
  <c r="AK42" i="30"/>
  <c r="AK41" i="30"/>
  <c r="AI40" i="30"/>
  <c r="AK39" i="30"/>
  <c r="AF39" i="30"/>
  <c r="AA39" i="30"/>
  <c r="AK38" i="30"/>
  <c r="AF38" i="30"/>
  <c r="AA38" i="30"/>
  <c r="AK37" i="30"/>
  <c r="AK36" i="30"/>
  <c r="AF36" i="30"/>
  <c r="AA36" i="30"/>
  <c r="AK35" i="30"/>
  <c r="AF35" i="30"/>
  <c r="AA35" i="30"/>
  <c r="AK34" i="30"/>
  <c r="AM33" i="30"/>
  <c r="AM40" i="30" s="1"/>
  <c r="AL33" i="30"/>
  <c r="AL40" i="30" s="1"/>
  <c r="AJ33" i="30"/>
  <c r="AJ40" i="30" s="1"/>
  <c r="AI33" i="30"/>
  <c r="AE33" i="30"/>
  <c r="AE40" i="30" s="1"/>
  <c r="AD33" i="30"/>
  <c r="AD40" i="30" s="1"/>
  <c r="AC33" i="30"/>
  <c r="AC40" i="30" s="1"/>
  <c r="Z33" i="30"/>
  <c r="Z40" i="30" s="1"/>
  <c r="Y33" i="30"/>
  <c r="Y40" i="30" s="1"/>
  <c r="X33" i="30"/>
  <c r="X40" i="30" s="1"/>
  <c r="W33" i="30"/>
  <c r="W40" i="30" s="1"/>
  <c r="V33" i="30"/>
  <c r="V40" i="30" s="1"/>
  <c r="S33" i="30"/>
  <c r="S40" i="30" s="1"/>
  <c r="Q33" i="30"/>
  <c r="Q40" i="30" s="1"/>
  <c r="AK32" i="30"/>
  <c r="AG32" i="30"/>
  <c r="AF32" i="30"/>
  <c r="AB32" i="30"/>
  <c r="AA32" i="30"/>
  <c r="U32" i="30"/>
  <c r="AK31" i="30"/>
  <c r="AK33" i="30" s="1"/>
  <c r="AK40" i="30" s="1"/>
  <c r="AF31" i="30"/>
  <c r="AG31" i="30" s="1"/>
  <c r="AB31" i="30"/>
  <c r="AA31" i="30"/>
  <c r="U31" i="30"/>
  <c r="AK30" i="30"/>
  <c r="AF30" i="30"/>
  <c r="AF33" i="30" s="1"/>
  <c r="AF40" i="30" s="1"/>
  <c r="AA30" i="30"/>
  <c r="AA33" i="30" s="1"/>
  <c r="AA40" i="30" s="1"/>
  <c r="AB40" i="30" s="1"/>
  <c r="U30" i="30"/>
  <c r="U33" i="30" s="1"/>
  <c r="U40" i="30" s="1"/>
  <c r="AK29" i="30"/>
  <c r="AK28" i="30"/>
  <c r="Y27" i="30"/>
  <c r="W27" i="30"/>
  <c r="V27" i="30"/>
  <c r="S27" i="30"/>
  <c r="AK26" i="30"/>
  <c r="AF26" i="30"/>
  <c r="AF27" i="30" s="1"/>
  <c r="AG27" i="30" s="1"/>
  <c r="AA26" i="30"/>
  <c r="W26" i="30"/>
  <c r="Q26" i="30"/>
  <c r="AK25" i="30"/>
  <c r="AF25" i="30"/>
  <c r="AG25" i="30" s="1"/>
  <c r="AB25" i="30"/>
  <c r="AA25" i="30"/>
  <c r="U25" i="30"/>
  <c r="U26" i="30" s="1"/>
  <c r="AK24" i="30"/>
  <c r="AF23" i="30"/>
  <c r="AA23" i="30"/>
  <c r="AK22" i="30"/>
  <c r="AF22" i="30"/>
  <c r="AA22" i="30"/>
  <c r="AK21" i="30"/>
  <c r="AM20" i="30"/>
  <c r="AM27" i="30" s="1"/>
  <c r="AL20" i="30"/>
  <c r="AL27" i="30" s="1"/>
  <c r="AJ20" i="30"/>
  <c r="AJ27" i="30" s="1"/>
  <c r="AI20" i="30"/>
  <c r="AI27" i="30" s="1"/>
  <c r="AE20" i="30"/>
  <c r="AE27" i="30" s="1"/>
  <c r="AD20" i="30"/>
  <c r="AD27" i="30" s="1"/>
  <c r="AC20" i="30"/>
  <c r="AC27" i="30" s="1"/>
  <c r="Z20" i="30"/>
  <c r="Z27" i="30" s="1"/>
  <c r="Y20" i="30"/>
  <c r="X20" i="30"/>
  <c r="X27" i="30" s="1"/>
  <c r="U20" i="30"/>
  <c r="U27" i="30" s="1"/>
  <c r="Q20" i="30"/>
  <c r="Q27" i="30" s="1"/>
  <c r="AK19" i="30"/>
  <c r="AF19" i="30"/>
  <c r="AF20" i="30" s="1"/>
  <c r="AG20" i="30" s="1"/>
  <c r="AA19" i="30"/>
  <c r="AB19" i="30" s="1"/>
  <c r="AK18" i="30"/>
  <c r="AF18" i="30"/>
  <c r="AG18" i="30" s="1"/>
  <c r="AB18" i="30"/>
  <c r="AA18" i="30"/>
  <c r="AK17" i="30"/>
  <c r="AF17" i="30"/>
  <c r="AG17" i="30" s="1"/>
  <c r="AB17" i="30"/>
  <c r="AA17" i="30"/>
  <c r="AK16" i="30"/>
  <c r="AG16" i="30"/>
  <c r="AF16" i="30"/>
  <c r="AB16" i="30"/>
  <c r="AA16" i="30"/>
  <c r="AK15" i="30"/>
  <c r="AG15" i="30"/>
  <c r="AF15" i="30"/>
  <c r="AB15" i="30"/>
  <c r="AA15" i="30"/>
  <c r="AK14" i="30"/>
  <c r="AG14" i="30"/>
  <c r="AF14" i="30"/>
  <c r="AA14" i="30"/>
  <c r="AB14" i="30" s="1"/>
  <c r="AK13" i="30"/>
  <c r="AK20" i="30" s="1"/>
  <c r="AG13" i="30"/>
  <c r="AF13" i="30"/>
  <c r="AA13" i="30"/>
  <c r="AA20" i="30" s="1"/>
  <c r="AB20" i="30" s="1"/>
  <c r="AK88" i="29"/>
  <c r="AF88" i="29"/>
  <c r="AG88" i="29" s="1"/>
  <c r="Z88" i="29"/>
  <c r="X88" i="29"/>
  <c r="AK87" i="29"/>
  <c r="AF87" i="29"/>
  <c r="AA87" i="29"/>
  <c r="Z87" i="29"/>
  <c r="X87" i="29"/>
  <c r="AK86" i="29"/>
  <c r="AF86" i="29"/>
  <c r="Z86" i="29"/>
  <c r="X86" i="29"/>
  <c r="AA86" i="29" s="1"/>
  <c r="AK85" i="29"/>
  <c r="AK84" i="29"/>
  <c r="AF84" i="29"/>
  <c r="Z84" i="29"/>
  <c r="X84" i="29"/>
  <c r="AA84" i="29" s="1"/>
  <c r="AK83" i="29"/>
  <c r="AF83" i="29"/>
  <c r="AA83" i="29"/>
  <c r="Z83" i="29"/>
  <c r="X83" i="29"/>
  <c r="AK82" i="29"/>
  <c r="AF82" i="29"/>
  <c r="AA82" i="29"/>
  <c r="Z82" i="29"/>
  <c r="X82" i="29"/>
  <c r="AJ81" i="29"/>
  <c r="AI81" i="29"/>
  <c r="AE81" i="29"/>
  <c r="AD81" i="29"/>
  <c r="AC81" i="29"/>
  <c r="Y81" i="29"/>
  <c r="X81" i="29"/>
  <c r="W81" i="29"/>
  <c r="W88" i="29" s="1"/>
  <c r="W89" i="29" s="1"/>
  <c r="V81" i="29"/>
  <c r="V88" i="29" s="1"/>
  <c r="U81" i="29"/>
  <c r="U88" i="29" s="1"/>
  <c r="S81" i="29"/>
  <c r="AK80" i="29"/>
  <c r="AK81" i="29" s="1"/>
  <c r="AF80" i="29"/>
  <c r="AG80" i="29" s="1"/>
  <c r="Z80" i="29"/>
  <c r="Z81" i="29" s="1"/>
  <c r="X80" i="29"/>
  <c r="AA80" i="29" s="1"/>
  <c r="U80" i="29"/>
  <c r="AK79" i="29"/>
  <c r="AK78" i="29"/>
  <c r="AI77" i="29"/>
  <c r="AI89" i="29" s="1"/>
  <c r="AD77" i="29"/>
  <c r="Z77" i="29"/>
  <c r="Y77" i="29"/>
  <c r="V77" i="29"/>
  <c r="Q77" i="29"/>
  <c r="Q89" i="29" s="1"/>
  <c r="AK76" i="29"/>
  <c r="AF76" i="29"/>
  <c r="Z76" i="29"/>
  <c r="X76" i="29"/>
  <c r="AA76" i="29" s="1"/>
  <c r="AK75" i="29"/>
  <c r="AF75" i="29"/>
  <c r="Z75" i="29"/>
  <c r="X75" i="29"/>
  <c r="AA75" i="29" s="1"/>
  <c r="AK74" i="29"/>
  <c r="AK73" i="29"/>
  <c r="AF73" i="29"/>
  <c r="Z73" i="29"/>
  <c r="X73" i="29"/>
  <c r="AA73" i="29" s="1"/>
  <c r="AK72" i="29"/>
  <c r="AF72" i="29"/>
  <c r="Z72" i="29"/>
  <c r="X72" i="29"/>
  <c r="AA72" i="29" s="1"/>
  <c r="AK71" i="29"/>
  <c r="AM70" i="29"/>
  <c r="AL70" i="29"/>
  <c r="AK70" i="29"/>
  <c r="AK77" i="29" s="1"/>
  <c r="AJ70" i="29"/>
  <c r="AJ77" i="29" s="1"/>
  <c r="AI70" i="29"/>
  <c r="AE70" i="29"/>
  <c r="AE77" i="29" s="1"/>
  <c r="AE89" i="29" s="1"/>
  <c r="AD70" i="29"/>
  <c r="AC70" i="29"/>
  <c r="AC77" i="29" s="1"/>
  <c r="AA70" i="29"/>
  <c r="AA77" i="29" s="1"/>
  <c r="AB77" i="29" s="1"/>
  <c r="Z70" i="29"/>
  <c r="Y70" i="29"/>
  <c r="X70" i="29"/>
  <c r="X77" i="29" s="1"/>
  <c r="W70" i="29"/>
  <c r="W77" i="29" s="1"/>
  <c r="V70" i="29"/>
  <c r="S70" i="29"/>
  <c r="S77" i="29" s="1"/>
  <c r="Q70" i="29"/>
  <c r="AK69" i="29"/>
  <c r="AF69" i="29"/>
  <c r="AF70" i="29" s="1"/>
  <c r="AB69" i="29"/>
  <c r="AA69" i="29"/>
  <c r="AK68" i="29"/>
  <c r="AF68" i="29"/>
  <c r="AG68" i="29" s="1"/>
  <c r="AB68" i="29"/>
  <c r="AA68" i="29"/>
  <c r="U68" i="29"/>
  <c r="U70" i="29" s="1"/>
  <c r="U77" i="29" s="1"/>
  <c r="AK67" i="29"/>
  <c r="AK66" i="29"/>
  <c r="AM64" i="29"/>
  <c r="AL64" i="29"/>
  <c r="AL65" i="29" s="1"/>
  <c r="AL89" i="29" s="1"/>
  <c r="AK64" i="29"/>
  <c r="AK65" i="29" s="1"/>
  <c r="AJ64" i="29"/>
  <c r="AI64" i="29"/>
  <c r="AI65" i="29" s="1"/>
  <c r="AE64" i="29"/>
  <c r="AE65" i="29" s="1"/>
  <c r="AD64" i="29"/>
  <c r="AC64" i="29"/>
  <c r="AC65" i="29" s="1"/>
  <c r="Y64" i="29"/>
  <c r="W64" i="29"/>
  <c r="W65" i="29" s="1"/>
  <c r="V64" i="29"/>
  <c r="U64" i="29"/>
  <c r="S64" i="29"/>
  <c r="S65" i="29" s="1"/>
  <c r="Q64" i="29"/>
  <c r="AK63" i="29"/>
  <c r="AF63" i="29"/>
  <c r="AG63" i="29" s="1"/>
  <c r="Z63" i="29"/>
  <c r="X63" i="29"/>
  <c r="AA63" i="29" s="1"/>
  <c r="AB63" i="29" s="1"/>
  <c r="U63" i="29"/>
  <c r="AK62" i="29"/>
  <c r="AF62" i="29"/>
  <c r="AG62" i="29" s="1"/>
  <c r="Z62" i="29"/>
  <c r="X62" i="29"/>
  <c r="AA62" i="29" s="1"/>
  <c r="AB62" i="29" s="1"/>
  <c r="U62" i="29"/>
  <c r="AK61" i="29"/>
  <c r="AF61" i="29"/>
  <c r="AG61" i="29" s="1"/>
  <c r="Z61" i="29"/>
  <c r="X61" i="29"/>
  <c r="AA61" i="29" s="1"/>
  <c r="AB61" i="29" s="1"/>
  <c r="U61" i="29"/>
  <c r="AK60" i="29"/>
  <c r="AF60" i="29"/>
  <c r="AG60" i="29" s="1"/>
  <c r="Z60" i="29"/>
  <c r="Z64" i="29" s="1"/>
  <c r="X60" i="29"/>
  <c r="AA60" i="29" s="1"/>
  <c r="U60" i="29"/>
  <c r="AK59" i="29"/>
  <c r="AK58" i="29"/>
  <c r="AF58" i="29"/>
  <c r="AE58" i="29"/>
  <c r="AC58" i="29"/>
  <c r="X58" i="29" s="1"/>
  <c r="AA58" i="29" s="1"/>
  <c r="Z58" i="29"/>
  <c r="AK57" i="29"/>
  <c r="AE57" i="29"/>
  <c r="AF57" i="29" s="1"/>
  <c r="AC57" i="29"/>
  <c r="Z57" i="29"/>
  <c r="X57" i="29"/>
  <c r="AA57" i="29" s="1"/>
  <c r="AK56" i="29"/>
  <c r="AM55" i="29"/>
  <c r="AM65" i="29" s="1"/>
  <c r="AM89" i="29" s="1"/>
  <c r="AL55" i="29"/>
  <c r="AJ55" i="29"/>
  <c r="AJ65" i="29" s="1"/>
  <c r="AI55" i="29"/>
  <c r="AE55" i="29"/>
  <c r="AD55" i="29"/>
  <c r="AD65" i="29" s="1"/>
  <c r="AC55" i="29"/>
  <c r="Y55" i="29"/>
  <c r="Y65" i="29" s="1"/>
  <c r="W55" i="29"/>
  <c r="V55" i="29"/>
  <c r="V65" i="29" s="1"/>
  <c r="S55" i="29"/>
  <c r="AK54" i="29"/>
  <c r="AG54" i="29"/>
  <c r="AF54" i="29"/>
  <c r="Z54" i="29"/>
  <c r="X54" i="29"/>
  <c r="AA54" i="29" s="1"/>
  <c r="AB54" i="29" s="1"/>
  <c r="U54" i="29"/>
  <c r="AK53" i="29"/>
  <c r="AG53" i="29"/>
  <c r="AF53" i="29"/>
  <c r="Z53" i="29"/>
  <c r="X53" i="29"/>
  <c r="AA53" i="29" s="1"/>
  <c r="AB53" i="29" s="1"/>
  <c r="U53" i="29"/>
  <c r="AK52" i="29"/>
  <c r="AG52" i="29"/>
  <c r="AF52" i="29"/>
  <c r="Z52" i="29"/>
  <c r="X52" i="29"/>
  <c r="AA52" i="29" s="1"/>
  <c r="AB52" i="29" s="1"/>
  <c r="U52" i="29"/>
  <c r="P52" i="29"/>
  <c r="N52" i="29"/>
  <c r="AK51" i="29"/>
  <c r="AG51" i="29"/>
  <c r="AF51" i="29"/>
  <c r="AA51" i="29"/>
  <c r="AB51" i="29" s="1"/>
  <c r="Z51" i="29"/>
  <c r="X51" i="29"/>
  <c r="U51" i="29"/>
  <c r="AK50" i="29"/>
  <c r="AG50" i="29"/>
  <c r="AF50" i="29"/>
  <c r="AA50" i="29"/>
  <c r="AB50" i="29" s="1"/>
  <c r="Z50" i="29"/>
  <c r="X50" i="29"/>
  <c r="U50" i="29"/>
  <c r="P50" i="29"/>
  <c r="N50" i="29"/>
  <c r="AK49" i="29"/>
  <c r="AF49" i="29"/>
  <c r="AG49" i="29" s="1"/>
  <c r="Z49" i="29"/>
  <c r="X49" i="29"/>
  <c r="AA49" i="29" s="1"/>
  <c r="AB49" i="29" s="1"/>
  <c r="U49" i="29"/>
  <c r="Q49" i="29"/>
  <c r="AK48" i="29"/>
  <c r="AG48" i="29"/>
  <c r="AF48" i="29"/>
  <c r="AA48" i="29"/>
  <c r="AB48" i="29" s="1"/>
  <c r="Z48" i="29"/>
  <c r="X48" i="29"/>
  <c r="U48" i="29"/>
  <c r="AK47" i="29"/>
  <c r="AG47" i="29"/>
  <c r="AF47" i="29"/>
  <c r="AA47" i="29"/>
  <c r="AB47" i="29" s="1"/>
  <c r="X47" i="29"/>
  <c r="X55" i="29" s="1"/>
  <c r="U47" i="29"/>
  <c r="Q47" i="29"/>
  <c r="P47" i="29"/>
  <c r="N47" i="29"/>
  <c r="AK46" i="29"/>
  <c r="AF46" i="29"/>
  <c r="AG46" i="29" s="1"/>
  <c r="AB46" i="29"/>
  <c r="AA46" i="29"/>
  <c r="X46" i="29"/>
  <c r="U46" i="29"/>
  <c r="U55" i="29" s="1"/>
  <c r="Q46" i="29"/>
  <c r="Q55" i="29" s="1"/>
  <c r="Q65" i="29" s="1"/>
  <c r="P46" i="29"/>
  <c r="N46" i="29"/>
  <c r="AK45" i="29"/>
  <c r="AK55" i="29" s="1"/>
  <c r="AG45" i="29"/>
  <c r="AF45" i="29"/>
  <c r="Z45" i="29"/>
  <c r="Z55" i="29" s="1"/>
  <c r="X45" i="29"/>
  <c r="AK44" i="29"/>
  <c r="AK43" i="29"/>
  <c r="AJ41" i="29"/>
  <c r="AJ42" i="29" s="1"/>
  <c r="AI41" i="29"/>
  <c r="AI42" i="29" s="1"/>
  <c r="AE41" i="29"/>
  <c r="AE42" i="29" s="1"/>
  <c r="AD41" i="29"/>
  <c r="AD42" i="29" s="1"/>
  <c r="AC41" i="29"/>
  <c r="Z41" i="29"/>
  <c r="Y41" i="29"/>
  <c r="X41" i="29"/>
  <c r="W41" i="29"/>
  <c r="W42" i="29" s="1"/>
  <c r="V41" i="29"/>
  <c r="V42" i="29" s="1"/>
  <c r="S41" i="29"/>
  <c r="Q41" i="29"/>
  <c r="Q42" i="29" s="1"/>
  <c r="AK40" i="29"/>
  <c r="AK41" i="29" s="1"/>
  <c r="AF40" i="29"/>
  <c r="AG40" i="29" s="1"/>
  <c r="AB40" i="29"/>
  <c r="AA40" i="29"/>
  <c r="AA41" i="29" s="1"/>
  <c r="Z40" i="29"/>
  <c r="X40" i="29"/>
  <c r="U40" i="29"/>
  <c r="U41" i="29" s="1"/>
  <c r="AK39" i="29"/>
  <c r="AM38" i="29"/>
  <c r="AL38" i="29"/>
  <c r="AK38" i="29"/>
  <c r="AJ38" i="29"/>
  <c r="AI38" i="29"/>
  <c r="AE38" i="29"/>
  <c r="AD38" i="29"/>
  <c r="AC38" i="29"/>
  <c r="Y38" i="29"/>
  <c r="W38" i="29"/>
  <c r="V38" i="29"/>
  <c r="S38" i="29"/>
  <c r="S42" i="29" s="1"/>
  <c r="Q38" i="29"/>
  <c r="AK37" i="29"/>
  <c r="AF37" i="29"/>
  <c r="AG37" i="29" s="1"/>
  <c r="Z37" i="29"/>
  <c r="Z38" i="29" s="1"/>
  <c r="X37" i="29"/>
  <c r="AA37" i="29" s="1"/>
  <c r="U37" i="29"/>
  <c r="U38" i="29" s="1"/>
  <c r="AK36" i="29"/>
  <c r="AF36" i="29"/>
  <c r="AG36" i="29" s="1"/>
  <c r="AB36" i="29"/>
  <c r="AA36" i="29"/>
  <c r="P36" i="29"/>
  <c r="N36" i="29"/>
  <c r="AK35" i="29"/>
  <c r="AG35" i="29"/>
  <c r="AF35" i="29"/>
  <c r="AA35" i="29"/>
  <c r="AB35" i="29" s="1"/>
  <c r="U35" i="29"/>
  <c r="P35" i="29"/>
  <c r="N35" i="29"/>
  <c r="AK34" i="29"/>
  <c r="AM33" i="29"/>
  <c r="AL33" i="29"/>
  <c r="AJ33" i="29"/>
  <c r="AI33" i="29"/>
  <c r="AE33" i="29"/>
  <c r="AD33" i="29"/>
  <c r="Y33" i="29"/>
  <c r="Y42" i="29" s="1"/>
  <c r="W33" i="29"/>
  <c r="V33" i="29"/>
  <c r="S33" i="29"/>
  <c r="AK32" i="29"/>
  <c r="AF32" i="29"/>
  <c r="AG32" i="29" s="1"/>
  <c r="Z32" i="29"/>
  <c r="X32" i="29"/>
  <c r="AA32" i="29" s="1"/>
  <c r="AB32" i="29" s="1"/>
  <c r="U32" i="29"/>
  <c r="P32" i="29"/>
  <c r="AK31" i="29"/>
  <c r="AG31" i="29"/>
  <c r="AF31" i="29"/>
  <c r="Z31" i="29"/>
  <c r="X31" i="29"/>
  <c r="AA31" i="29" s="1"/>
  <c r="AB31" i="29" s="1"/>
  <c r="U31" i="29"/>
  <c r="P31" i="29"/>
  <c r="AK30" i="29"/>
  <c r="AF30" i="29"/>
  <c r="Z30" i="29"/>
  <c r="AA30" i="29" s="1"/>
  <c r="AB30" i="29" s="1"/>
  <c r="X30" i="29"/>
  <c r="U30" i="29"/>
  <c r="Q30" i="29"/>
  <c r="AG30" i="29" s="1"/>
  <c r="P30" i="29"/>
  <c r="N30" i="29"/>
  <c r="AK29" i="29"/>
  <c r="AF29" i="29"/>
  <c r="AG29" i="29" s="1"/>
  <c r="Z29" i="29"/>
  <c r="X29" i="29"/>
  <c r="AA29" i="29" s="1"/>
  <c r="AB29" i="29" s="1"/>
  <c r="U29" i="29"/>
  <c r="P29" i="29"/>
  <c r="N29" i="29"/>
  <c r="AK28" i="29"/>
  <c r="AF28" i="29"/>
  <c r="AG28" i="29" s="1"/>
  <c r="AB28" i="29"/>
  <c r="AA28" i="29"/>
  <c r="Z28" i="29"/>
  <c r="X28" i="29"/>
  <c r="U28" i="29"/>
  <c r="Q28" i="29"/>
  <c r="Q33" i="29" s="1"/>
  <c r="P28" i="29"/>
  <c r="N28" i="29"/>
  <c r="AK27" i="29"/>
  <c r="AK33" i="29" s="1"/>
  <c r="AE27" i="29"/>
  <c r="AC27" i="29"/>
  <c r="AF27" i="29" s="1"/>
  <c r="Z27" i="29"/>
  <c r="Z33" i="29" s="1"/>
  <c r="U27" i="29"/>
  <c r="P27" i="29"/>
  <c r="N27" i="29"/>
  <c r="AK26" i="29"/>
  <c r="AF26" i="29"/>
  <c r="AG26" i="29" s="1"/>
  <c r="X26" i="29"/>
  <c r="AA26" i="29" s="1"/>
  <c r="U26" i="29"/>
  <c r="U33" i="29" s="1"/>
  <c r="P26" i="29"/>
  <c r="N26" i="29"/>
  <c r="AK23" i="29"/>
  <c r="AJ23" i="29"/>
  <c r="AE23" i="29"/>
  <c r="X23" i="29"/>
  <c r="W23" i="29"/>
  <c r="Q23" i="29"/>
  <c r="AK22" i="29"/>
  <c r="AJ22" i="29"/>
  <c r="AI22" i="29"/>
  <c r="AI23" i="29" s="1"/>
  <c r="AI91" i="29" s="1"/>
  <c r="AE22" i="29"/>
  <c r="AC22" i="29"/>
  <c r="AC23" i="29" s="1"/>
  <c r="AA22" i="29"/>
  <c r="AB22" i="29" s="1"/>
  <c r="Z22" i="29"/>
  <c r="Z23" i="29" s="1"/>
  <c r="Y22" i="29"/>
  <c r="Y23" i="29" s="1"/>
  <c r="X22" i="29"/>
  <c r="W22" i="29"/>
  <c r="V22" i="29"/>
  <c r="V23" i="29" s="1"/>
  <c r="U22" i="29"/>
  <c r="U23" i="29" s="1"/>
  <c r="S22" i="29"/>
  <c r="Q22" i="29"/>
  <c r="AF21" i="29"/>
  <c r="AF22" i="29" s="1"/>
  <c r="AB21" i="29"/>
  <c r="AF20" i="29"/>
  <c r="AG20" i="29" s="1"/>
  <c r="AB20" i="29"/>
  <c r="AD19" i="29"/>
  <c r="AF19" i="29" s="1"/>
  <c r="AG19" i="29" s="1"/>
  <c r="AB19" i="29"/>
  <c r="AA19" i="29"/>
  <c r="AD17" i="29"/>
  <c r="AC17" i="29"/>
  <c r="AA17" i="29"/>
  <c r="AB17" i="29" s="1"/>
  <c r="Y17" i="29"/>
  <c r="X17" i="29"/>
  <c r="V17" i="29"/>
  <c r="U17" i="29"/>
  <c r="S17" i="29"/>
  <c r="S23" i="29" s="1"/>
  <c r="AF16" i="29"/>
  <c r="AG16" i="29" s="1"/>
  <c r="AB16" i="29"/>
  <c r="AD14" i="29"/>
  <c r="AC14" i="29"/>
  <c r="AF14" i="29" s="1"/>
  <c r="AG14" i="29" s="1"/>
  <c r="AB14" i="29"/>
  <c r="Y14" i="29"/>
  <c r="X14" i="29"/>
  <c r="V14" i="29"/>
  <c r="S14" i="29"/>
  <c r="AG13" i="29"/>
  <c r="AF13" i="29"/>
  <c r="AB13" i="29"/>
  <c r="X25" i="31" l="1"/>
  <c r="X55" i="31" s="1"/>
  <c r="X69" i="31" s="1"/>
  <c r="AC55" i="31"/>
  <c r="AC69" i="31" s="1"/>
  <c r="U58" i="31"/>
  <c r="U69" i="31"/>
  <c r="AI58" i="31"/>
  <c r="AI69" i="31"/>
  <c r="AA43" i="31"/>
  <c r="AB43" i="31" s="1"/>
  <c r="AJ69" i="31"/>
  <c r="AJ58" i="31"/>
  <c r="AA54" i="31"/>
  <c r="AK55" i="31"/>
  <c r="W58" i="31"/>
  <c r="W69" i="31"/>
  <c r="AB13" i="31"/>
  <c r="AG45" i="31"/>
  <c r="AF14" i="31"/>
  <c r="AG14" i="31" s="1"/>
  <c r="AE54" i="31"/>
  <c r="AE55" i="31" s="1"/>
  <c r="AE69" i="31" s="1"/>
  <c r="AA29" i="31"/>
  <c r="AB29" i="31" s="1"/>
  <c r="AF53" i="31"/>
  <c r="AG53" i="31" s="1"/>
  <c r="Z54" i="31"/>
  <c r="Z55" i="31" s="1"/>
  <c r="Z69" i="31" s="1"/>
  <c r="AB45" i="31"/>
  <c r="AL78" i="30"/>
  <c r="U114" i="30"/>
  <c r="U120" i="30" s="1"/>
  <c r="AJ78" i="30"/>
  <c r="AG40" i="30"/>
  <c r="W78" i="30"/>
  <c r="AM78" i="30"/>
  <c r="Q78" i="30"/>
  <c r="AK78" i="30"/>
  <c r="U62" i="30"/>
  <c r="X78" i="30"/>
  <c r="Z78" i="30"/>
  <c r="AK27" i="30"/>
  <c r="Y78" i="30"/>
  <c r="AC78" i="30"/>
  <c r="U78" i="30"/>
  <c r="AA27" i="30"/>
  <c r="AB27" i="30" s="1"/>
  <c r="AG61" i="30"/>
  <c r="S78" i="30"/>
  <c r="V78" i="30"/>
  <c r="AB13" i="30"/>
  <c r="AG19" i="30"/>
  <c r="AG30" i="30"/>
  <c r="AG43" i="30"/>
  <c r="AB49" i="30"/>
  <c r="AF55" i="30"/>
  <c r="AG55" i="30" s="1"/>
  <c r="AG57" i="30"/>
  <c r="AB69" i="30"/>
  <c r="AF70" i="30"/>
  <c r="AG70" i="30" s="1"/>
  <c r="AB52" i="30"/>
  <c r="AA61" i="30"/>
  <c r="AB30" i="30"/>
  <c r="AB41" i="29"/>
  <c r="AB26" i="29"/>
  <c r="AA33" i="29"/>
  <c r="AB33" i="29" s="1"/>
  <c r="AF77" i="29"/>
  <c r="AG77" i="29" s="1"/>
  <c r="AG70" i="29"/>
  <c r="AJ91" i="29"/>
  <c r="U89" i="29"/>
  <c r="AG27" i="29"/>
  <c r="AF33" i="29"/>
  <c r="AG33" i="29" s="1"/>
  <c r="AF23" i="29"/>
  <c r="AG23" i="29" s="1"/>
  <c r="AG22" i="29"/>
  <c r="U42" i="29"/>
  <c r="AK91" i="29"/>
  <c r="U65" i="29"/>
  <c r="S89" i="29"/>
  <c r="V89" i="29"/>
  <c r="AA81" i="29"/>
  <c r="AB80" i="29"/>
  <c r="AB81" i="29" s="1"/>
  <c r="Z42" i="29"/>
  <c r="AB60" i="29"/>
  <c r="AA64" i="29"/>
  <c r="AJ89" i="29"/>
  <c r="Y89" i="29"/>
  <c r="AA38" i="29"/>
  <c r="AB38" i="29" s="1"/>
  <c r="AB37" i="29"/>
  <c r="AK42" i="29"/>
  <c r="Z65" i="29"/>
  <c r="AK89" i="29"/>
  <c r="Z89" i="29"/>
  <c r="AG21" i="29"/>
  <c r="X33" i="29"/>
  <c r="AF64" i="29"/>
  <c r="AD22" i="29"/>
  <c r="AD23" i="29" s="1"/>
  <c r="AD89" i="29" s="1"/>
  <c r="X38" i="29"/>
  <c r="AF38" i="29"/>
  <c r="AG38" i="29" s="1"/>
  <c r="AA45" i="29"/>
  <c r="AB70" i="29"/>
  <c r="AC33" i="29"/>
  <c r="AC42" i="29" s="1"/>
  <c r="AC89" i="29" s="1"/>
  <c r="AF81" i="29"/>
  <c r="AA23" i="29"/>
  <c r="AB23" i="29" s="1"/>
  <c r="X64" i="29"/>
  <c r="X65" i="29" s="1"/>
  <c r="AF17" i="29"/>
  <c r="AG17" i="29" s="1"/>
  <c r="AF55" i="29"/>
  <c r="AG55" i="29" s="1"/>
  <c r="AA88" i="29"/>
  <c r="AG69" i="29"/>
  <c r="AF41" i="29"/>
  <c r="AA27" i="29"/>
  <c r="AB27" i="29" s="1"/>
  <c r="AK69" i="31" l="1"/>
  <c r="AK58" i="31"/>
  <c r="AB54" i="31"/>
  <c r="AA55" i="31"/>
  <c r="AF25" i="31"/>
  <c r="AG25" i="31" s="1"/>
  <c r="AF54" i="31"/>
  <c r="U95" i="30"/>
  <c r="U97" i="30" s="1"/>
  <c r="U103" i="30" s="1"/>
  <c r="U85" i="30"/>
  <c r="Q243" i="30"/>
  <c r="Q85" i="30"/>
  <c r="V95" i="30"/>
  <c r="V85" i="30"/>
  <c r="AF62" i="30"/>
  <c r="AG62" i="30" s="1"/>
  <c r="W95" i="30"/>
  <c r="W103" i="30" s="1"/>
  <c r="W85" i="30"/>
  <c r="AB61" i="30"/>
  <c r="AA62" i="30"/>
  <c r="T114" i="30"/>
  <c r="X89" i="29"/>
  <c r="AG41" i="29"/>
  <c r="AF42" i="29"/>
  <c r="AG42" i="29" s="1"/>
  <c r="AA65" i="29"/>
  <c r="AB65" i="29" s="1"/>
  <c r="AB64" i="29"/>
  <c r="AA55" i="29"/>
  <c r="AB55" i="29" s="1"/>
  <c r="AB45" i="29"/>
  <c r="AF65" i="29"/>
  <c r="AG65" i="29" s="1"/>
  <c r="AG64" i="29"/>
  <c r="AA42" i="29"/>
  <c r="AB42" i="29" s="1"/>
  <c r="AB88" i="29"/>
  <c r="AA89" i="29"/>
  <c r="AB89" i="29" s="1"/>
  <c r="X42" i="29"/>
  <c r="AF55" i="31" l="1"/>
  <c r="AG54" i="31"/>
  <c r="AA69" i="31"/>
  <c r="AB69" i="31" s="1"/>
  <c r="AB55" i="31"/>
  <c r="AA57" i="31"/>
  <c r="AB57" i="31" s="1"/>
  <c r="AF78" i="30"/>
  <c r="AG78" i="30" s="1"/>
  <c r="AB62" i="30"/>
  <c r="AA78" i="30"/>
  <c r="AB78" i="30" s="1"/>
  <c r="Q87" i="30"/>
  <c r="AB85" i="30"/>
  <c r="AF89" i="29"/>
  <c r="AG89" i="29" s="1"/>
  <c r="AF69" i="31" l="1"/>
  <c r="AG69" i="31" s="1"/>
  <c r="AG55" i="31"/>
  <c r="Q89" i="30"/>
  <c r="AB89" i="30" s="1"/>
  <c r="AB87" i="30"/>
  <c r="G63" i="26" l="1"/>
  <c r="E63" i="26"/>
  <c r="F29" i="27" l="1"/>
  <c r="F28" i="27"/>
  <c r="F27" i="27"/>
  <c r="F26" i="27"/>
  <c r="H20" i="27"/>
  <c r="H19" i="27"/>
  <c r="H18" i="27"/>
  <c r="H17" i="27"/>
  <c r="F20" i="27"/>
  <c r="F19" i="27"/>
  <c r="F18" i="27"/>
  <c r="F17" i="27"/>
  <c r="H10" i="27"/>
  <c r="H9" i="27"/>
  <c r="H8" i="27"/>
  <c r="H7" i="27"/>
  <c r="F10" i="27"/>
  <c r="F9" i="27"/>
  <c r="F8" i="27"/>
  <c r="F7" i="27"/>
  <c r="I31" i="26" l="1"/>
  <c r="H31" i="26"/>
  <c r="F31" i="26"/>
  <c r="E31" i="26"/>
  <c r="C31" i="26"/>
  <c r="I172" i="26" l="1"/>
  <c r="H172" i="26"/>
  <c r="F172" i="26"/>
  <c r="E172" i="26"/>
  <c r="C172" i="26"/>
  <c r="F124" i="26"/>
  <c r="F140" i="26"/>
  <c r="D140" i="26"/>
  <c r="C140" i="26"/>
  <c r="H140" i="26" s="1"/>
  <c r="H138" i="26"/>
  <c r="G124" i="26"/>
  <c r="E124" i="26"/>
  <c r="D124" i="26"/>
  <c r="C124" i="26"/>
  <c r="H122" i="26"/>
  <c r="H121" i="26"/>
  <c r="H120" i="26"/>
  <c r="H119" i="26"/>
  <c r="H118" i="26"/>
  <c r="H117" i="26"/>
  <c r="M112" i="26"/>
  <c r="N112" i="26" s="1"/>
  <c r="L112" i="26"/>
  <c r="J112" i="26"/>
  <c r="K112" i="26" s="1"/>
  <c r="I112" i="26"/>
  <c r="G112" i="26"/>
  <c r="F112" i="26"/>
  <c r="D112" i="26"/>
  <c r="E112" i="26" s="1"/>
  <c r="C112" i="26"/>
  <c r="N110" i="26"/>
  <c r="K110" i="26"/>
  <c r="E110" i="26"/>
  <c r="N109" i="26"/>
  <c r="K109" i="26"/>
  <c r="H109" i="26"/>
  <c r="E109" i="26"/>
  <c r="N108" i="26"/>
  <c r="K108" i="26"/>
  <c r="H108" i="26"/>
  <c r="E108" i="26"/>
  <c r="C102" i="26"/>
  <c r="B102" i="26"/>
  <c r="D101" i="26"/>
  <c r="D100" i="26"/>
  <c r="D99" i="26"/>
  <c r="H124" i="26" l="1"/>
  <c r="D102" i="26"/>
  <c r="H112" i="26"/>
  <c r="F63" i="26"/>
  <c r="D63" i="26"/>
  <c r="C63" i="26"/>
  <c r="H61" i="26"/>
  <c r="H41" i="26"/>
  <c r="H42" i="26"/>
  <c r="H43" i="26"/>
  <c r="H44" i="26"/>
  <c r="H45" i="26"/>
  <c r="H40" i="26"/>
  <c r="D47" i="26"/>
  <c r="E47" i="26"/>
  <c r="F47" i="26"/>
  <c r="G47" i="26"/>
  <c r="C47" i="26"/>
  <c r="G20" i="26"/>
  <c r="M20" i="26"/>
  <c r="L20" i="26"/>
  <c r="N18" i="26"/>
  <c r="N17" i="26"/>
  <c r="N16" i="26"/>
  <c r="J20" i="26"/>
  <c r="I20" i="26"/>
  <c r="K18" i="26"/>
  <c r="K17" i="26"/>
  <c r="K16" i="26"/>
  <c r="F20" i="26"/>
  <c r="H17" i="26"/>
  <c r="H16" i="26"/>
  <c r="D20" i="26"/>
  <c r="C20" i="26"/>
  <c r="E17" i="26"/>
  <c r="E18" i="26"/>
  <c r="E16" i="26"/>
  <c r="C10" i="26"/>
  <c r="B10" i="26"/>
  <c r="D8" i="26"/>
  <c r="D9" i="26"/>
  <c r="D7" i="26"/>
  <c r="H47" i="26" l="1"/>
  <c r="D10" i="26"/>
  <c r="H63" i="26"/>
  <c r="E20" i="26"/>
  <c r="N20" i="26"/>
  <c r="K20" i="26"/>
  <c r="H20" i="26"/>
</calcChain>
</file>

<file path=xl/sharedStrings.xml><?xml version="1.0" encoding="utf-8"?>
<sst xmlns="http://schemas.openxmlformats.org/spreadsheetml/2006/main" count="1346" uniqueCount="595">
  <si>
    <t>%</t>
  </si>
  <si>
    <t>GOB</t>
  </si>
  <si>
    <t>Total</t>
  </si>
  <si>
    <t>IFAD Loan</t>
  </si>
  <si>
    <t>IFAD Grant</t>
  </si>
  <si>
    <t xml:space="preserve">Financer </t>
  </si>
  <si>
    <t>Approval</t>
  </si>
  <si>
    <t>Disbursement</t>
  </si>
  <si>
    <t>Component</t>
  </si>
  <si>
    <t>Climate Resilient Infrastructure and Community Shelters</t>
  </si>
  <si>
    <t xml:space="preserve">Resilient Communities Through Employment and Early Flood Warning </t>
  </si>
  <si>
    <t>Project Management</t>
  </si>
  <si>
    <t>Initial Advance</t>
  </si>
  <si>
    <t>Actual</t>
  </si>
  <si>
    <t>-</t>
  </si>
  <si>
    <t>Government</t>
  </si>
  <si>
    <t>Category</t>
  </si>
  <si>
    <t>Orginal Allocation</t>
  </si>
  <si>
    <t>Revised Allocation</t>
  </si>
  <si>
    <t xml:space="preserve">Disbursement </t>
  </si>
  <si>
    <t>Balance</t>
  </si>
  <si>
    <t>WA pending</t>
  </si>
  <si>
    <t>I</t>
  </si>
  <si>
    <t>II</t>
  </si>
  <si>
    <t>III</t>
  </si>
  <si>
    <t>IV</t>
  </si>
  <si>
    <t>V</t>
  </si>
  <si>
    <t>Category description</t>
  </si>
  <si>
    <t>Works</t>
  </si>
  <si>
    <t>Equipment &amp; Materials</t>
  </si>
  <si>
    <t>Training and Workshop</t>
  </si>
  <si>
    <t>Cunsultancies</t>
  </si>
  <si>
    <t>Recurrent Cost</t>
  </si>
  <si>
    <t xml:space="preserve">Unallocated </t>
  </si>
  <si>
    <t>Initial Deposit/Advance Account</t>
  </si>
  <si>
    <t>% of Disbursement</t>
  </si>
  <si>
    <t>Per cent disbursed</t>
  </si>
  <si>
    <t>Project Total</t>
  </si>
  <si>
    <t>% of Total</t>
  </si>
  <si>
    <t>2. Financial Performance by Financier (USD in '000) as up to September 2020</t>
  </si>
  <si>
    <t>Financial Performance by Financier (USD in '000) as up to September 2020</t>
  </si>
  <si>
    <t>Financial Performance by components (in USD '000) as up to September 2020</t>
  </si>
  <si>
    <t>IFAD Loan Disbursements (USD 000) as at September'2020 by categories</t>
  </si>
  <si>
    <t>Table 2C: IFAD Grant Disbursements (USD 000) as at September'2020 by categories</t>
  </si>
  <si>
    <t>(Yearly Financial Ferformance by Components (in USD'000) as up to June 2020</t>
  </si>
  <si>
    <t>Year Total</t>
  </si>
  <si>
    <t xml:space="preserve">Cumulative </t>
  </si>
  <si>
    <t xml:space="preserve">2. Financial Performance </t>
  </si>
  <si>
    <t>2.B. Financial Performance by components (in USD '000) as up to June 2020</t>
  </si>
  <si>
    <t>2.A. Financial Performance by Financier (USD in '000) as up to June 2020</t>
  </si>
  <si>
    <t>2.C. Yearly Financial Ferformance by Components (in USD'000) as up to June 2020</t>
  </si>
  <si>
    <t>2.D. IFAD Loan Disbursements (USD 000) as at June'2020 by categories</t>
  </si>
  <si>
    <t>2.E. IFAD Grant Disbursements (USD 000) as at June'2020 by categories</t>
  </si>
  <si>
    <t xml:space="preserve">Project Procurement Plan </t>
  </si>
  <si>
    <t>Procurement in Progress</t>
  </si>
  <si>
    <t xml:space="preserve">Procurement done </t>
  </si>
  <si>
    <t xml:space="preserve">Number </t>
  </si>
  <si>
    <t>Estimated Cost</t>
  </si>
  <si>
    <t xml:space="preserve">Contracted Amount </t>
  </si>
  <si>
    <t>Completed</t>
  </si>
  <si>
    <t xml:space="preserve">Goods </t>
  </si>
  <si>
    <t xml:space="preserve">Services </t>
  </si>
  <si>
    <t xml:space="preserve">Total </t>
  </si>
  <si>
    <t>Description</t>
  </si>
  <si>
    <t>C.1. Fiscal Year 2018 - 2019</t>
  </si>
  <si>
    <t>C.2. Fiscal Year 2019 - 2020</t>
  </si>
  <si>
    <t>C.3. Fiscal Year 2020 - 2021</t>
  </si>
  <si>
    <t>C. Project {Procurement Status Since Inception and Planning for the FY 2020 – 2021}</t>
  </si>
  <si>
    <t>Amount (BDT in Lac)</t>
  </si>
  <si>
    <t>PART-II</t>
  </si>
  <si>
    <t>Annual Work Plan &amp; Budget (AWPB) Summary (2020-2021)</t>
  </si>
  <si>
    <t>Project Code : 224243100</t>
  </si>
  <si>
    <t xml:space="preserve">Project Titel: Promoting Resilience of Vulnerable through Access to Infrastructure, Improved Skills and Information (PROVATi³) </t>
  </si>
  <si>
    <t>Financial Year: 2020-2021</t>
  </si>
  <si>
    <r>
      <rPr>
        <i/>
        <sz val="14"/>
        <color theme="1"/>
        <rFont val="Arial"/>
        <family val="2"/>
      </rPr>
      <t>(BDT in lac; AWPB prepared on base cost</t>
    </r>
    <r>
      <rPr>
        <sz val="14"/>
        <color theme="1"/>
        <rFont val="Arial"/>
        <family val="2"/>
      </rPr>
      <t>)</t>
    </r>
  </si>
  <si>
    <t xml:space="preserve">Objective and Expected Results  </t>
  </si>
  <si>
    <t>Indicator</t>
  </si>
  <si>
    <t xml:space="preserve">Implementation Target </t>
  </si>
  <si>
    <t>Budget</t>
  </si>
  <si>
    <t>Approved DPP (total)</t>
  </si>
  <si>
    <t>Revised (total)</t>
  </si>
  <si>
    <t xml:space="preserve">Planned (annual) </t>
  </si>
  <si>
    <t xml:space="preserve">Unit cost </t>
  </si>
  <si>
    <t>Achieved (cumulative)</t>
  </si>
  <si>
    <t>Achieved (annual)</t>
  </si>
  <si>
    <t>Budget category</t>
  </si>
  <si>
    <t xml:space="preserve">Spent (cumulative) </t>
  </si>
  <si>
    <t xml:space="preserve">Spent (annual 2019-20) </t>
  </si>
  <si>
    <t xml:space="preserve">Comments </t>
  </si>
  <si>
    <t xml:space="preserve">Development Objective: Enhanced  resilience of population of selected flood-prone Upazilas </t>
  </si>
  <si>
    <t>Percentage increase in income of extreme poor households (disaggregated by sex of HH head)</t>
  </si>
  <si>
    <t xml:space="preserve">RIMS Core Indicator (outreach) 1.a Corresponding number of households reached </t>
  </si>
  <si>
    <t>Com.1</t>
  </si>
  <si>
    <t>Climate Resilient Rural Infrastructure &amp; Community Shelters</t>
  </si>
  <si>
    <t>Percentage of infrastructure that are fully functional and maintained one year after rehabilitiation/up-grading</t>
  </si>
  <si>
    <t>S.Com 1.1</t>
  </si>
  <si>
    <t xml:space="preserve">OUTPUT 1.1 Climate change Flood / Preparedness Research for Building Climate Resilient Infrastructure </t>
  </si>
  <si>
    <t>Number of design standards incorporating climate change/resilient aspects</t>
  </si>
  <si>
    <t>Nos</t>
  </si>
  <si>
    <t>II, III, IV &amp; V (IFAD Grant)</t>
  </si>
  <si>
    <t>S.Com 1.2</t>
  </si>
  <si>
    <t>OUTOUT 1.2 Climte Resilient Rural Communication Infrastructure Built</t>
  </si>
  <si>
    <t>1) Kilometers of village and Union road upgraded/paved; 2) Kilometers of road rehabiliated</t>
  </si>
  <si>
    <t xml:space="preserve">RIMS  Core Indicator 2.1.5 Number of kilometres of roads constructed, rehabilitated or upgraded. </t>
  </si>
  <si>
    <t>Km</t>
  </si>
  <si>
    <t>I(IFAD Loan)</t>
  </si>
  <si>
    <t>S.Com 1.3</t>
  </si>
  <si>
    <t>OUTPUT 1.3 Climate Resilent Rural Market Developed</t>
  </si>
  <si>
    <t xml:space="preserve">Number of rural markets built in project area     </t>
  </si>
  <si>
    <t>RIMS Core Indicator  2.1.6 Number of market, processing or storage facilities constructed or rehabilitated</t>
  </si>
  <si>
    <t>S.Com 1.4</t>
  </si>
  <si>
    <t xml:space="preserve">OUTPUT 1.4 Climate Resilent  Community Shelter cum School </t>
  </si>
  <si>
    <t>Number of school-cum flood shelters newly built in charlands</t>
  </si>
  <si>
    <t>20 (15)</t>
  </si>
  <si>
    <t>S.Com 1.5</t>
  </si>
  <si>
    <t>OUTPUT 1.5 Training on Climate/Flood proof  Resilient Infrastructure Design and Construction</t>
  </si>
  <si>
    <t>Number of engineers trained on climate resilient infrastructure</t>
  </si>
  <si>
    <t>III(IFAD Loan)</t>
  </si>
  <si>
    <t xml:space="preserve">Total Budget for Component 1: </t>
  </si>
  <si>
    <t>Com. 2</t>
  </si>
  <si>
    <t xml:space="preserve">Resilent Communities Through Employment and Early Flood Warning </t>
  </si>
  <si>
    <t>Percetage of beneficiaries report increased empowerment and resilience (scored 2)</t>
  </si>
  <si>
    <t>S.Com 2.1</t>
  </si>
  <si>
    <t>OUTPUT 2.1 Capacity building of LCS members and Livelihoods Developed</t>
  </si>
  <si>
    <r>
      <t>Number of LCS households trained in IGA and business management(by sex)</t>
    </r>
    <r>
      <rPr>
        <vertAlign val="subscript"/>
        <sz val="11"/>
        <color rgb="FF000000"/>
        <rFont val="Arial"/>
        <family val="2"/>
      </rPr>
      <t xml:space="preserve"> </t>
    </r>
  </si>
  <si>
    <t>1) RIMS Core Indicator  2.1.2 Number of persons trained in income-generating activities or business management. 2) RIMS Core Indicator 1.1.8 Number of person/households provided with trageted support to improve their nutrition</t>
  </si>
  <si>
    <t>LS</t>
  </si>
  <si>
    <t>S.Com 2.2</t>
  </si>
  <si>
    <t xml:space="preserve">OUTPUT 2.2 Vocatioanl training for Off-farm Employment  </t>
  </si>
  <si>
    <t>Number of VT youths employed (disaggregated by sex) 1 year after completing training</t>
  </si>
  <si>
    <t>Persons</t>
  </si>
  <si>
    <t>S.Com 2.3</t>
  </si>
  <si>
    <t xml:space="preserve">OUTPUT 2.3 Development of Accurate Local Flood Warning and Dissemination System </t>
  </si>
  <si>
    <r>
      <t>Number of vulnerable unions in project area received and used flood early warning information</t>
    </r>
    <r>
      <rPr>
        <vertAlign val="subscript"/>
        <sz val="11"/>
        <color rgb="FF000000"/>
        <rFont val="Arial"/>
        <family val="2"/>
      </rPr>
      <t xml:space="preserve"> </t>
    </r>
  </si>
  <si>
    <t>RIMS Core Indicator  3.1.2 Number of persons provided with climate information services</t>
  </si>
  <si>
    <t>S.Com 2.4</t>
  </si>
  <si>
    <t>OUTPUT 2.4 Parcical Policy Actions</t>
  </si>
  <si>
    <r>
      <t>Number of policy-relevant reviews completed</t>
    </r>
    <r>
      <rPr>
        <i/>
        <vertAlign val="subscript"/>
        <sz val="11"/>
        <color rgb="FF000000"/>
        <rFont val="Arial"/>
        <family val="2"/>
      </rPr>
      <t xml:space="preserve"> </t>
    </r>
  </si>
  <si>
    <t>III.IV (IFAD Loan, Grant)</t>
  </si>
  <si>
    <t>Total Budget for Component 2:</t>
  </si>
  <si>
    <t>Com. 3</t>
  </si>
  <si>
    <t xml:space="preserve">Project Management </t>
  </si>
  <si>
    <t xml:space="preserve">Project is in place </t>
  </si>
  <si>
    <t>S.Com 3.1</t>
  </si>
  <si>
    <t>OUTPUT 3.1 Project Management and Technical Support</t>
  </si>
  <si>
    <t xml:space="preserve">All units including PMU and at Field level fully functional </t>
  </si>
  <si>
    <t>V(IFAD Loan)</t>
  </si>
  <si>
    <t xml:space="preserve">Total Budget for Component 3: </t>
  </si>
  <si>
    <t>Total Budget</t>
  </si>
  <si>
    <t>Detailed Annual Work Plan &amp; Budget (AWPB), Component-1: Climate Resilient Rural Infrastructure &amp; Community Shelters</t>
  </si>
  <si>
    <t>BDT in Lakh Taka</t>
  </si>
  <si>
    <t>Particulars of Cost</t>
  </si>
  <si>
    <t>Project Indicators</t>
  </si>
  <si>
    <t>RIMS Indicator</t>
  </si>
  <si>
    <t>Responsible Unit/ Agency</t>
  </si>
  <si>
    <t>Unit</t>
  </si>
  <si>
    <t xml:space="preserve">Tompro Code </t>
  </si>
  <si>
    <t>Physical Implementation targets of 2020-2021</t>
  </si>
  <si>
    <t>Expenditure</t>
  </si>
  <si>
    <t>Remarks</t>
  </si>
  <si>
    <t>DPP 
(Total)</t>
  </si>
  <si>
    <t>To be Revised (Total)</t>
  </si>
  <si>
    <t>Planned (Annual) for  2020-2021</t>
  </si>
  <si>
    <t xml:space="preserve">Procurement Method </t>
  </si>
  <si>
    <t>Achieved (Cumulative)
Upto June/20</t>
  </si>
  <si>
    <t xml:space="preserve">Achieved (Annual) in 2019-2020  </t>
  </si>
  <si>
    <t xml:space="preserve"> Budget Category</t>
  </si>
  <si>
    <t>Plan for 2020-21</t>
  </si>
  <si>
    <t>Spent (Cumulative) upto June 2020</t>
  </si>
  <si>
    <t>Spent (Annual)-2019-20</t>
  </si>
  <si>
    <t>Spent (Annual)-2018-19</t>
  </si>
  <si>
    <t>IFAD Laon</t>
  </si>
  <si>
    <t>IFAD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</si>
  <si>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</si>
  <si>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</si>
  <si>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</si>
  <si>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</si>
  <si>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</si>
  <si>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</si>
  <si>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</si>
  <si>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</si>
  <si>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</si>
  <si>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</si>
  <si>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</si>
  <si>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</si>
  <si>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</si>
  <si>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</si>
  <si>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</si>
  <si>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</si>
  <si>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</si>
  <si>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</si>
  <si>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</si>
  <si>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</si>
  <si>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</si>
  <si>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</si>
  <si>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</si>
  <si>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</si>
  <si>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</si>
  <si>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</si>
  <si>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</si>
  <si>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</si>
  <si>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</si>
  <si>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</si>
  <si>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</si>
  <si>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</si>
  <si>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</si>
  <si>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C1</t>
  </si>
  <si>
    <t>Componenet -1: Climate Resilient Rural Infrastructure &amp; Community Shelters</t>
  </si>
  <si>
    <t>SC 1.1</t>
  </si>
  <si>
    <t>Sub Comp 1.1 : Climate change flood/ preparedness research for building climate resilient infrastructure</t>
  </si>
  <si>
    <t xml:space="preserve">Infrastructure design standards updated based on climate change assessment researches </t>
  </si>
  <si>
    <t>4829 (i)</t>
  </si>
  <si>
    <t>A. Programme/Acitvity</t>
  </si>
  <si>
    <t xml:space="preserve">1.1.1 Research Works &amp; Dissemination </t>
  </si>
  <si>
    <t>BUET</t>
  </si>
  <si>
    <t>No</t>
  </si>
  <si>
    <t>4829(i)</t>
  </si>
  <si>
    <t xml:space="preserve">III &amp; V (IFAD Grant) </t>
  </si>
  <si>
    <t>Sub Total: A (BUET expenses for research work and dessmination)</t>
  </si>
  <si>
    <t>B. Acquisition of Asset ( vehicle/equipment/material)</t>
  </si>
  <si>
    <t>Different Equipment for Research Work</t>
  </si>
  <si>
    <t>No/Sets</t>
  </si>
  <si>
    <t>4829(v)</t>
  </si>
  <si>
    <t>II (IFAD Grant)</t>
  </si>
  <si>
    <t>Sub-Total: B</t>
  </si>
  <si>
    <t>C. Recurrent Cost ( service/maintenance/ travelling/stationary/printing etc.)</t>
  </si>
  <si>
    <t>Consultancy by BUET Staff for Research Work</t>
  </si>
  <si>
    <t>MM</t>
  </si>
  <si>
    <t>4829(iv)</t>
  </si>
  <si>
    <t>IV(IFAD Grant)</t>
  </si>
  <si>
    <t xml:space="preserve">Field Visit </t>
  </si>
  <si>
    <t>4829(ii)</t>
  </si>
  <si>
    <t>V(IFAD Grant)</t>
  </si>
  <si>
    <t xml:space="preserve">Travelling, Stationary, Printing etc. </t>
  </si>
  <si>
    <t>4829(iii)</t>
  </si>
  <si>
    <t xml:space="preserve">Sub-Total:C </t>
  </si>
  <si>
    <t>Total of Sub Component (1.1)</t>
  </si>
  <si>
    <t>SC 1.2</t>
  </si>
  <si>
    <t>Sub Comp 1.2 : Climate Resilient Rural Communication Infrastructure Built</t>
  </si>
  <si>
    <t xml:space="preserve">Climate resilient rural communication infrastructure constructed </t>
  </si>
  <si>
    <t>1.2.1Union Road BC</t>
  </si>
  <si>
    <t>PMU, PIU</t>
  </si>
  <si>
    <t>C1201</t>
  </si>
  <si>
    <t>7031 (i)</t>
  </si>
  <si>
    <t>I (IFAD Loan)</t>
  </si>
  <si>
    <t>1.2.2 Village Road BC</t>
  </si>
  <si>
    <t>C1202</t>
  </si>
  <si>
    <t>7031 (ii)</t>
  </si>
  <si>
    <t>1.2.3 Village Road HBB/RCC</t>
  </si>
  <si>
    <t>C1203</t>
  </si>
  <si>
    <t>7031 (iii)</t>
  </si>
  <si>
    <t>1.2.4 Construction of Culvert and Cross-Drainage Structures</t>
  </si>
  <si>
    <t>m</t>
  </si>
  <si>
    <t>C1204</t>
  </si>
  <si>
    <t>7031 (iv)</t>
  </si>
  <si>
    <t xml:space="preserve">1.2.5 Rehabilitation of Roads </t>
  </si>
  <si>
    <t>PMU,PIU</t>
  </si>
  <si>
    <t>C1205</t>
  </si>
  <si>
    <t>7031(v)</t>
  </si>
  <si>
    <t>1.2.6 LCS Capacity Building Training on Road Maintentance</t>
  </si>
  <si>
    <t>C1206</t>
  </si>
  <si>
    <t>III (IFAD Loan)</t>
  </si>
  <si>
    <t>1.2.7 Rural Road Maintenance (Material &amp; Wages of LCS)</t>
  </si>
  <si>
    <t>C1207</t>
  </si>
  <si>
    <t>Sub-Total: A</t>
  </si>
  <si>
    <t>Vechiles for PMU+PIU (4WD pickups)</t>
  </si>
  <si>
    <t>PMU</t>
  </si>
  <si>
    <t>Nos.</t>
  </si>
  <si>
    <t>C1208</t>
  </si>
  <si>
    <t>6807 (iii)</t>
  </si>
  <si>
    <t>II (IFAD Loan)</t>
  </si>
  <si>
    <t>Motorbikes</t>
  </si>
  <si>
    <t>C1209</t>
  </si>
  <si>
    <t>6807 (iv)</t>
  </si>
  <si>
    <t>NA</t>
  </si>
  <si>
    <t xml:space="preserve">Engneering Material </t>
  </si>
  <si>
    <t>C1210</t>
  </si>
  <si>
    <t xml:space="preserve">PMU + PIU Motorcycle and Service Vehicle </t>
  </si>
  <si>
    <t>VY</t>
  </si>
  <si>
    <t>144/76</t>
  </si>
  <si>
    <t>Sub-Total : C</t>
  </si>
  <si>
    <t>Total of Sub-component (1.2)</t>
  </si>
  <si>
    <t>SC 1.3 </t>
  </si>
  <si>
    <t>Climate resilient rural market development</t>
  </si>
  <si>
    <t>Climate resilient rural market built</t>
  </si>
  <si>
    <t>1.3.1 Resettlement of Shops</t>
  </si>
  <si>
    <t>C1301</t>
  </si>
  <si>
    <t>1.3.2 Large Markets</t>
  </si>
  <si>
    <t>C1302</t>
  </si>
  <si>
    <r>
      <t>1.3.3</t>
    </r>
    <r>
      <rPr>
        <sz val="7"/>
        <color theme="1"/>
        <rFont val="Arial"/>
        <family val="2"/>
      </rPr>
      <t> </t>
    </r>
    <r>
      <rPr>
        <sz val="11"/>
        <color theme="1"/>
        <rFont val="Arial"/>
        <family val="2"/>
      </rPr>
      <t>Medium Market</t>
    </r>
  </si>
  <si>
    <t>C1303 </t>
  </si>
  <si>
    <r>
      <t>1.3.4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Small  Market</t>
    </r>
  </si>
  <si>
    <t>C1304 </t>
  </si>
  <si>
    <r>
      <t>1.3.5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Women Sections in Market</t>
    </r>
  </si>
  <si>
    <t>C1305  </t>
  </si>
  <si>
    <t xml:space="preserve">1.3.6 LCS training on market development ( including tools and insurance) </t>
  </si>
  <si>
    <t>PIU</t>
  </si>
  <si>
    <t>Batch</t>
  </si>
  <si>
    <t>C1306</t>
  </si>
  <si>
    <t>4840 (ii)</t>
  </si>
  <si>
    <t xml:space="preserve">1.3.7 Upazila MM workshop </t>
  </si>
  <si>
    <t>Nos of WS</t>
  </si>
  <si>
    <t>C1307</t>
  </si>
  <si>
    <t xml:space="preserve">1.3.8 Market users/stakeholders </t>
  </si>
  <si>
    <t>Nos. of WS</t>
  </si>
  <si>
    <t>C1308</t>
  </si>
  <si>
    <t>1.3.9 Women market users Training</t>
  </si>
  <si>
    <t>C1309</t>
  </si>
  <si>
    <t>1.3.10 MMC &amp; trader associations training</t>
  </si>
  <si>
    <t>C1310</t>
  </si>
  <si>
    <t xml:space="preserve">Sub-Total: A </t>
  </si>
  <si>
    <t>Nil</t>
  </si>
  <si>
    <t>C. Recurrent Cost ( service/maintenance /travelling/stationary/printing etc.)</t>
  </si>
  <si>
    <t>Car Rental/Procurement</t>
  </si>
  <si>
    <t>Months</t>
  </si>
  <si>
    <t>C1313</t>
  </si>
  <si>
    <t>4893 (iii)</t>
  </si>
  <si>
    <t>V (IFAD Loan)</t>
  </si>
  <si>
    <t>PMU (TA) Team (Consultancy service)</t>
  </si>
  <si>
    <t xml:space="preserve">PMU </t>
  </si>
  <si>
    <t>P/M</t>
  </si>
  <si>
    <t>C1311 </t>
  </si>
  <si>
    <t>4874 (i)</t>
  </si>
  <si>
    <t>IV (IFAD Loan)</t>
  </si>
  <si>
    <t>Direct Cost TA Team and Others (Consultancy service)</t>
  </si>
  <si>
    <t>L:S</t>
  </si>
  <si>
    <t>C1312</t>
  </si>
  <si>
    <t>4874 (ii)</t>
  </si>
  <si>
    <t>Physical Service</t>
  </si>
  <si>
    <t>C1314</t>
  </si>
  <si>
    <t>4893 (ii)</t>
  </si>
  <si>
    <t>Total of Sub-Component (1.3)</t>
  </si>
  <si>
    <t>SC1.4 </t>
  </si>
  <si>
    <t>Climate Resilient Community Shelter cum School</t>
  </si>
  <si>
    <t xml:space="preserve">Multi-purpose school-cum-flood shelters built in selected char lands </t>
  </si>
  <si>
    <t>1.4.1 Flood Shelter Survey &amp; Estimate</t>
  </si>
  <si>
    <t>C1401</t>
  </si>
  <si>
    <t>4886(i)</t>
  </si>
  <si>
    <t>1.4.2 Buildings, Flood Shelter</t>
  </si>
  <si>
    <t>C1402</t>
  </si>
  <si>
    <t>Sub-Total : A</t>
  </si>
  <si>
    <t>Sub-Total:B</t>
  </si>
  <si>
    <t>C. Recurrent Cost ( service/maintenance/travelling/ stationary/printing etc.)</t>
  </si>
  <si>
    <t>Total of Sub-Component (1.4)</t>
  </si>
  <si>
    <t>SC1.5 </t>
  </si>
  <si>
    <r>
      <rPr>
        <b/>
        <sz val="7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>Training on climate/flood-prof resilient infrastructure design and construction</t>
    </r>
  </si>
  <si>
    <t>Training on climate resilient infrastructure design and implementation conducted</t>
  </si>
  <si>
    <t xml:space="preserve">A. Programme/Activity </t>
  </si>
  <si>
    <t>1.5.1 Training Staff Engineer</t>
  </si>
  <si>
    <t xml:space="preserve"> PMU, BUET, External Experts </t>
  </si>
  <si>
    <t>C1501</t>
  </si>
  <si>
    <t>4840(iv)</t>
  </si>
  <si>
    <t>C. Recurrent Cost ( service/maintenance/ travelling/stationary/ printing etc.)</t>
  </si>
  <si>
    <t>Total of Sub-component 1.5</t>
  </si>
  <si>
    <t>Total Budget of Component 1:</t>
  </si>
  <si>
    <t>Detailed Annual Work Plan &amp; Budget (AWPB), Component-2: Resilient Communities through Employment and Early Flood Warning</t>
  </si>
  <si>
    <t>Financial Year: 2020-21</t>
  </si>
  <si>
    <t>(BDT in lac; AWPB prepared on base cost)</t>
  </si>
  <si>
    <t>Objecitves/Expected Results</t>
  </si>
  <si>
    <t>Responsible Unit/ Staff</t>
  </si>
  <si>
    <t>TOMPRO Code</t>
  </si>
  <si>
    <t>Physical Implementation targets of 2020-2021 and achievement of 2019-2020</t>
  </si>
  <si>
    <t xml:space="preserve">Budget </t>
  </si>
  <si>
    <t xml:space="preserve"> To be Revised (Total)</t>
  </si>
  <si>
    <t>C2</t>
  </si>
  <si>
    <t>Resilient Communities through Employment and Early Flood Warning</t>
  </si>
  <si>
    <t>SC2.1</t>
  </si>
  <si>
    <t>Sub-Com 2.1 : Capacity  building of LCS members and livlihood developed</t>
  </si>
  <si>
    <t>LCS  members are trained and made  progress socio-economicaly</t>
  </si>
  <si>
    <t xml:space="preserve">A. Programme / Activity </t>
  </si>
  <si>
    <t>2.1.1 Introduction of GALS Pilot model for LCS</t>
  </si>
  <si>
    <t>PMU, NGO,PIU</t>
  </si>
  <si>
    <t>person</t>
  </si>
  <si>
    <t>C2101</t>
  </si>
  <si>
    <t>4840 (v)</t>
  </si>
  <si>
    <t>2.1.2 Replication of model for LCS</t>
  </si>
  <si>
    <t>C2102</t>
  </si>
  <si>
    <t>4840(v)</t>
  </si>
  <si>
    <t>2.1.3 Workshop (TOT)</t>
  </si>
  <si>
    <t xml:space="preserve">PMU, NGO, Consultant </t>
  </si>
  <si>
    <t xml:space="preserve">2.1.5 Regional Exchange Visit </t>
  </si>
  <si>
    <t xml:space="preserve">2.1.6 Knowledge Exchange Visit </t>
  </si>
  <si>
    <t>2.1.7 Support  to Market planning and Development</t>
  </si>
  <si>
    <t>2.1.8 Documentation &amp; Publication</t>
  </si>
  <si>
    <t>C2103</t>
  </si>
  <si>
    <t xml:space="preserve">Sub-Total:A </t>
  </si>
  <si>
    <t xml:space="preserve">B. Acquisition of Asset ( vehicle/ equipment / materials etc) </t>
  </si>
  <si>
    <t xml:space="preserve">Nil </t>
  </si>
  <si>
    <t xml:space="preserve">Sub-Total:B </t>
  </si>
  <si>
    <t>C. Recurrent Cost ( service/maintenace/repairing/printing)</t>
  </si>
  <si>
    <t>International consultancy on GALS (TOT)</t>
  </si>
  <si>
    <t>C2104</t>
  </si>
  <si>
    <t>Sub-total:C</t>
  </si>
  <si>
    <t>Total  of Sub.Comp (2.1)</t>
  </si>
  <si>
    <t>SC2.2</t>
  </si>
  <si>
    <t>Total of Sub-Comp 2.2: Vocational training for off-farm employment</t>
  </si>
  <si>
    <t>Employment for youths in project area  expanded through vocational skill development</t>
  </si>
  <si>
    <t>A. Programme/Activity</t>
  </si>
  <si>
    <t xml:space="preserve"> 2.2.1 Study deemand for skills</t>
  </si>
  <si>
    <t>C2201</t>
  </si>
  <si>
    <t xml:space="preserve"> 2.2.2 Workshop</t>
  </si>
  <si>
    <t>Workshop</t>
  </si>
  <si>
    <t>C2202</t>
  </si>
  <si>
    <t xml:space="preserve"> 2.2.3 Vocational training (Youth)</t>
  </si>
  <si>
    <t>PMU, NGO</t>
  </si>
  <si>
    <t>C2203</t>
  </si>
  <si>
    <t>4840(vi)</t>
  </si>
  <si>
    <t xml:space="preserve">C. Recurrent Cost ( service/maintenace/repair/ documentation </t>
  </si>
  <si>
    <t xml:space="preserve">Total of Sub-Component (2.2) </t>
  </si>
  <si>
    <t>SC2.3</t>
  </si>
  <si>
    <t>Sub Comp: Development of accurate local flood warning and dissemination system</t>
  </si>
  <si>
    <t xml:space="preserve">Local improved flood Forecasting and early warning system establised </t>
  </si>
  <si>
    <t xml:space="preserve">2.3.1 Enhanching Local Knowledge on EWS ( Research) </t>
  </si>
  <si>
    <t>DDM</t>
  </si>
  <si>
    <t>C2301</t>
  </si>
  <si>
    <t>4829(vi)</t>
  </si>
  <si>
    <t>2.3.2 Data Collection ( Research)</t>
  </si>
  <si>
    <t>C2302</t>
  </si>
  <si>
    <t>4829(vii)</t>
  </si>
  <si>
    <t xml:space="preserve">2.3.3 Tools Development (Research) </t>
  </si>
  <si>
    <t>C2303</t>
  </si>
  <si>
    <t>4829(viii)</t>
  </si>
  <si>
    <t xml:space="preserve">2.3.4 Communication and Dessemination of Flood Warning Signal (Research) </t>
  </si>
  <si>
    <t>C2304</t>
  </si>
  <si>
    <t>4829(ix)</t>
  </si>
  <si>
    <t>2.3.5 Training EWS Professional</t>
  </si>
  <si>
    <t>C2306</t>
  </si>
  <si>
    <t>4840(vii)</t>
  </si>
  <si>
    <t>2.3.6 Training Volenteers on EWS</t>
  </si>
  <si>
    <t>C2307</t>
  </si>
  <si>
    <t>4840(viii)</t>
  </si>
  <si>
    <t xml:space="preserve">2.3.7 Workshops </t>
  </si>
  <si>
    <t>C2308</t>
  </si>
  <si>
    <t>4842(ii)</t>
  </si>
  <si>
    <t>Sub-Total:A</t>
  </si>
  <si>
    <t xml:space="preserve">B. Acquisition of Asset (vehicle/equipment /materials etc) </t>
  </si>
  <si>
    <t xml:space="preserve">Motor Vehicle </t>
  </si>
  <si>
    <t>C2335</t>
  </si>
  <si>
    <t>6807(v)</t>
  </si>
  <si>
    <t>Mismatch with DPP</t>
  </si>
  <si>
    <t xml:space="preserve">Airconditioers </t>
  </si>
  <si>
    <t>C2312</t>
  </si>
  <si>
    <t>6813(ii)</t>
  </si>
  <si>
    <t xml:space="preserve">Computer and Instrument </t>
  </si>
  <si>
    <t xml:space="preserve">Nos. </t>
  </si>
  <si>
    <t>C2321</t>
  </si>
  <si>
    <t>6815(vii)</t>
  </si>
  <si>
    <t>Local Consultancy of DDM</t>
  </si>
  <si>
    <t>C2338</t>
  </si>
  <si>
    <t>4874(iii)</t>
  </si>
  <si>
    <t>Need to review by PD</t>
  </si>
  <si>
    <t xml:space="preserve">Allowances ( daily and concvence) </t>
  </si>
  <si>
    <t>C2339</t>
  </si>
  <si>
    <t xml:space="preserve">Supply and Services </t>
  </si>
  <si>
    <t>4804(ii), 4813(ii), 4815(ii), 4816(ii), 4818(ii), 4824(ii), 4827(ii), 4828(ii), 4921(ii)</t>
  </si>
  <si>
    <t>Maintenance of Motor Cycle, Service Vehicles</t>
  </si>
  <si>
    <t>4901(ii)</t>
  </si>
  <si>
    <t>Sub-Total:C</t>
  </si>
  <si>
    <t>Total of Sub-Comp (2.3)</t>
  </si>
  <si>
    <t>SC 2.4</t>
  </si>
  <si>
    <t>Practical Policy Actions</t>
  </si>
  <si>
    <t>Institutional  regulatory review conducted and integrated in policies</t>
  </si>
  <si>
    <t>2.4.01 Internal policy initiative</t>
  </si>
  <si>
    <t>C2401</t>
  </si>
  <si>
    <t>4886(ii)</t>
  </si>
  <si>
    <t>2.4.02 WFP mapping of poverty and nutritional status and Forecast work</t>
  </si>
  <si>
    <t>WFP</t>
  </si>
  <si>
    <t>C2402</t>
  </si>
  <si>
    <t>4886(iii)</t>
  </si>
  <si>
    <t>2.4.03 Contribution to LGED Climate Unit</t>
  </si>
  <si>
    <t>PMU.LGED</t>
  </si>
  <si>
    <t>C2403</t>
  </si>
  <si>
    <t>4874(v)</t>
  </si>
  <si>
    <t>2.4.04 LGED PMU Support</t>
  </si>
  <si>
    <t>C2404</t>
  </si>
  <si>
    <t>4874(vi)</t>
  </si>
  <si>
    <t>2.4.05 Support to CPS (KM &amp; FM &amp; Annual KM Events )</t>
  </si>
  <si>
    <t>ERD</t>
  </si>
  <si>
    <t>C2405</t>
  </si>
  <si>
    <t>4874(iv)</t>
  </si>
  <si>
    <t xml:space="preserve">C. Recurrent Cost ( service/maintenace/repairing/printing) </t>
  </si>
  <si>
    <t>Total of Sub-Component:  (2.4)</t>
  </si>
  <si>
    <t>Total Budget of Component 2:</t>
  </si>
  <si>
    <t>Detailed Annual Work Plan &amp; Budget (AWPB), Component-3: Project Management and Coordination</t>
  </si>
  <si>
    <t xml:space="preserve">Project Titel:  Promoting Resilience of Vulnerable through Access to Infrastructure, Improved Skills and Information (PROVATi³) 
 </t>
  </si>
  <si>
    <t>Planned (Annual) for 2020-21</t>
  </si>
  <si>
    <t xml:space="preserve">IFAD Loan </t>
  </si>
  <si>
    <t xml:space="preserve">IFAD Garnt </t>
  </si>
  <si>
    <t xml:space="preserve">Project management and Technical Support </t>
  </si>
  <si>
    <t>Project Implementation Strengthened with Effective Collaboration and Partnership</t>
  </si>
  <si>
    <t>A. Programme/activity</t>
  </si>
  <si>
    <t>3.1.1 TOMPRO Software setup &amp; operation</t>
  </si>
  <si>
    <t>C3101</t>
  </si>
  <si>
    <t>3.1.2 Inception/Start-up workshop</t>
  </si>
  <si>
    <t>C3102</t>
  </si>
  <si>
    <t>4840(ix)</t>
  </si>
  <si>
    <t>3.1.3 Orientation Training to staff</t>
  </si>
  <si>
    <t>C3103</t>
  </si>
  <si>
    <t>3.1.4 Training on LCS Management</t>
  </si>
  <si>
    <t>C3104</t>
  </si>
  <si>
    <t>3.1.5 Project Monthly Review meetings</t>
  </si>
  <si>
    <t>C3105</t>
  </si>
  <si>
    <t>3.1.6 PMU Workshop &amp; Loan Negotiation/ Visit to IFAD H/Q.</t>
  </si>
  <si>
    <t>C3106</t>
  </si>
  <si>
    <t>4842(i)</t>
  </si>
  <si>
    <t>3.1.7 Overseas Training PMU</t>
  </si>
  <si>
    <t>C3107</t>
  </si>
  <si>
    <t>4840(x)</t>
  </si>
  <si>
    <t>3.1.8 Baseline survey RIMS+</t>
  </si>
  <si>
    <t>C3108</t>
  </si>
  <si>
    <t>4886(v)</t>
  </si>
  <si>
    <t>3.1.9 Mid-term survey RIMS +</t>
  </si>
  <si>
    <t>C3109</t>
  </si>
  <si>
    <t>3.1.10 Endline survey RIMS +</t>
  </si>
  <si>
    <t>C3110</t>
  </si>
  <si>
    <t>3.1.11 Annual Outcome surveys</t>
  </si>
  <si>
    <t>C3111</t>
  </si>
  <si>
    <t>3.1.12 Impact assessment survey</t>
  </si>
  <si>
    <t>C3113</t>
  </si>
  <si>
    <t>3.1.13 Knowledgement Products</t>
  </si>
  <si>
    <t>C3114</t>
  </si>
  <si>
    <t>Need to review</t>
  </si>
  <si>
    <t xml:space="preserve">Sub-Total; A </t>
  </si>
  <si>
    <t xml:space="preserve">B. Acqusition of Assets ( vehicle/equipment/ material) </t>
  </si>
  <si>
    <t>Acquisition/Purchase of Landed</t>
  </si>
  <si>
    <t>GoB</t>
  </si>
  <si>
    <t>Vehicles for PD</t>
  </si>
  <si>
    <t>C3115</t>
  </si>
  <si>
    <t>6807 (i)</t>
  </si>
  <si>
    <t>No breckdown</t>
  </si>
  <si>
    <t>Vehicles for DPD, PMU</t>
  </si>
  <si>
    <t>C3116</t>
  </si>
  <si>
    <t>6807 (ii)</t>
  </si>
  <si>
    <t xml:space="preserve">Desktop Computers with printer </t>
  </si>
  <si>
    <t>C3117</t>
  </si>
  <si>
    <t>6815 (i)</t>
  </si>
  <si>
    <t>Laptop Computers</t>
  </si>
  <si>
    <t>C3118</t>
  </si>
  <si>
    <t>6815 (ii)</t>
  </si>
  <si>
    <t>Digital Camera</t>
  </si>
  <si>
    <t>C3119</t>
  </si>
  <si>
    <t>Air Conditioner Equipment,PMU</t>
  </si>
  <si>
    <t>C3120</t>
  </si>
  <si>
    <t>6813 (i)</t>
  </si>
  <si>
    <t>Photocopier</t>
  </si>
  <si>
    <t>C3121</t>
  </si>
  <si>
    <t>6815 (iv)</t>
  </si>
  <si>
    <t>Scanner</t>
  </si>
  <si>
    <t>C3122</t>
  </si>
  <si>
    <t>6815 (iii)</t>
  </si>
  <si>
    <t>Projector (Multimedia)</t>
  </si>
  <si>
    <t>C3123</t>
  </si>
  <si>
    <t>6815 (v)</t>
  </si>
  <si>
    <t>Internet (Installation with Wifi)</t>
  </si>
  <si>
    <t>C3124</t>
  </si>
  <si>
    <t>6815 (vi)</t>
  </si>
  <si>
    <t>Office Arrangement/Equipment</t>
  </si>
  <si>
    <t>C3125</t>
  </si>
  <si>
    <t xml:space="preserve"> Furniture</t>
  </si>
  <si>
    <t>PMU, PIUs</t>
  </si>
  <si>
    <t>C3126</t>
  </si>
  <si>
    <t>Telephone Arrangement</t>
  </si>
  <si>
    <t>C3127</t>
  </si>
  <si>
    <t>Tree Plantation</t>
  </si>
  <si>
    <t>C3128</t>
  </si>
  <si>
    <t xml:space="preserve">Others </t>
  </si>
  <si>
    <t>C3129</t>
  </si>
  <si>
    <t>C. Recurrent ( Service/Maintenance/ Repairing/printing)</t>
  </si>
  <si>
    <t>PMU+PIU Motor Vehicles</t>
  </si>
  <si>
    <t>PMU &amp; PIU</t>
  </si>
  <si>
    <t>C3130</t>
  </si>
  <si>
    <t>Furniture</t>
  </si>
  <si>
    <t>C3131</t>
  </si>
  <si>
    <t>Computer , Office Equipment</t>
  </si>
  <si>
    <t>C3132</t>
  </si>
  <si>
    <t>Machinaries and Equipment</t>
  </si>
  <si>
    <t>C3133</t>
  </si>
  <si>
    <t>Office Complex</t>
  </si>
  <si>
    <t>C3134</t>
  </si>
  <si>
    <t>4921(i)</t>
  </si>
  <si>
    <t xml:space="preserve">Engineering Instruments </t>
  </si>
  <si>
    <t>C3135</t>
  </si>
  <si>
    <t>Other reparing</t>
  </si>
  <si>
    <t>C3136</t>
  </si>
  <si>
    <t>Pay of Officers &amp; Staff and Allowances</t>
  </si>
  <si>
    <t>C3137</t>
  </si>
  <si>
    <t>4501,4601 &amp; 4701-4795</t>
  </si>
  <si>
    <t>Office administration supply &amp; services</t>
  </si>
  <si>
    <t>C3138</t>
  </si>
  <si>
    <t>4801,4802, 4804, 4806, 4813, 4815, 4816, 4817, 4818, 4819, 4821, 4822, 4823, 4824, 4827, 4828, 4831, 4832, 4833, 4836, 4845, 4846, 4851, 4854, 4875, 4881, 4882,4883, 4885, 4888, 4889, 4893(i), 4899</t>
  </si>
  <si>
    <t>Total Budget of  Component 3</t>
  </si>
  <si>
    <t>Grand Total</t>
  </si>
  <si>
    <t>Economic code</t>
  </si>
  <si>
    <t xml:space="preserve">RIMS CORE Indicators </t>
  </si>
  <si>
    <t>RIMS Core Indicator, Pollicy 1 -  Number of policy-relevant knowledge products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</si>
</sst>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0_);\(0.00\)"/>
    <numFmt numFmtId="166" formatCode="_(* #,##0_);_(* \(#,##0\);_(* &quot;-&quot;??_);_(@_)"/>
    <numFmt numFmtId="167" formatCode="_(* #,##0.0_);_(* \(#,##0.0\);_(* &quot;-&quot;??_);_(@_)"/>
    <numFmt numFmtId="168" formatCode="0.0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宋体"/>
      <charset val="13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36"/>
      <name val="Calibri"/>
      <family val="2"/>
    </font>
    <font>
      <b/>
      <sz val="20"/>
      <color theme="1"/>
      <name val="Calibri (Bo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vertAlign val="subscript"/>
      <sz val="11"/>
      <color rgb="FF000000"/>
      <name val="Arial"/>
      <family val="2"/>
    </font>
    <font>
      <sz val="11"/>
      <name val="Arial"/>
      <family val="2"/>
    </font>
    <font>
      <i/>
      <vertAlign val="sub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7030A0"/>
      <name val="Arial"/>
      <family val="2"/>
    </font>
    <font>
      <b/>
      <sz val="7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9" fontId="3" fillId="0" borderId="0" applyFont="0" applyFill="0" applyBorder="0" applyAlignment="0" applyProtection="0"/>
    <xf numFmtId="0" fontId="11" fillId="0" borderId="0">
      <alignment vertical="center"/>
    </xf>
    <xf numFmtId="164" fontId="1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</cellStyleXfs>
  <cellXfs count="685">
    <xf numFmtId="0" fontId="0" fillId="0" borderId="0" xfId="0"/>
    <xf numFmtId="0" fontId="0" fillId="0" borderId="1" xfId="0" applyBorder="1"/>
    <xf numFmtId="0" fontId="3" fillId="0" borderId="0" xfId="0" applyFont="1"/>
    <xf numFmtId="2" fontId="0" fillId="0" borderId="0" xfId="0" applyNumberFormat="1"/>
    <xf numFmtId="2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 wrapText="1"/>
    </xf>
    <xf numFmtId="10" fontId="0" fillId="0" borderId="1" xfId="0" applyNumberForma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10" fontId="4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10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top" wrapText="1"/>
    </xf>
    <xf numFmtId="10" fontId="5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10" fontId="4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wrapText="1"/>
    </xf>
    <xf numFmtId="10" fontId="8" fillId="0" borderId="1" xfId="0" applyNumberFormat="1" applyFont="1" applyBorder="1" applyAlignment="1">
      <alignment horizontal="right" vertical="top" wrapText="1"/>
    </xf>
    <xf numFmtId="2" fontId="0" fillId="0" borderId="0" xfId="0" applyNumberFormat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top" wrapText="1"/>
    </xf>
    <xf numFmtId="10" fontId="8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10" fontId="3" fillId="3" borderId="1" xfId="0" applyNumberFormat="1" applyFont="1" applyFill="1" applyBorder="1" applyAlignment="1">
      <alignment horizontal="right" vertical="top" wrapText="1"/>
    </xf>
    <xf numFmtId="2" fontId="3" fillId="3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2" fontId="13" fillId="0" borderId="0" xfId="0" applyNumberFormat="1" applyFont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right" vertical="center" wrapText="1"/>
    </xf>
    <xf numFmtId="0" fontId="13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right" vertical="top"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center"/>
    </xf>
    <xf numFmtId="0" fontId="10" fillId="0" borderId="0" xfId="7"/>
    <xf numFmtId="0" fontId="15" fillId="0" borderId="0" xfId="7" applyFont="1" applyAlignment="1">
      <alignment horizontal="center"/>
    </xf>
    <xf numFmtId="0" fontId="17" fillId="0" borderId="0" xfId="7" applyFont="1" applyAlignment="1">
      <alignment vertical="top"/>
    </xf>
    <xf numFmtId="0" fontId="18" fillId="2" borderId="0" xfId="0" applyFont="1" applyFill="1"/>
    <xf numFmtId="0" fontId="19" fillId="2" borderId="0" xfId="0" applyFont="1" applyFill="1"/>
    <xf numFmtId="0" fontId="19" fillId="0" borderId="0" xfId="0" applyFont="1"/>
    <xf numFmtId="0" fontId="18" fillId="2" borderId="0" xfId="0" applyFont="1" applyFill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2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21" fillId="2" borderId="0" xfId="0" applyFont="1" applyFill="1"/>
    <xf numFmtId="0" fontId="22" fillId="0" borderId="1" xfId="7" applyFont="1" applyBorder="1"/>
    <xf numFmtId="0" fontId="22" fillId="0" borderId="1" xfId="7" applyFont="1" applyBorder="1" applyAlignment="1">
      <alignment horizontal="center" vertical="top" wrapText="1"/>
    </xf>
    <xf numFmtId="0" fontId="22" fillId="0" borderId="1" xfId="7" applyFont="1" applyBorder="1" applyAlignment="1">
      <alignment horizontal="center" vertical="center" wrapText="1"/>
    </xf>
    <xf numFmtId="0" fontId="22" fillId="0" borderId="1" xfId="7" applyFont="1" applyBorder="1" applyAlignment="1">
      <alignment vertical="center"/>
    </xf>
    <xf numFmtId="0" fontId="23" fillId="0" borderId="1" xfId="7" applyFont="1" applyBorder="1" applyAlignment="1">
      <alignment horizontal="left" vertical="center" wrapText="1"/>
    </xf>
    <xf numFmtId="0" fontId="24" fillId="0" borderId="1" xfId="7" applyFont="1" applyBorder="1" applyAlignment="1">
      <alignment vertical="center" wrapText="1"/>
    </xf>
    <xf numFmtId="0" fontId="23" fillId="0" borderId="1" xfId="7" applyFont="1" applyBorder="1" applyAlignment="1">
      <alignment vertical="center"/>
    </xf>
    <xf numFmtId="0" fontId="22" fillId="0" borderId="1" xfId="7" applyFont="1" applyBorder="1" applyAlignment="1">
      <alignment vertical="center" wrapText="1"/>
    </xf>
    <xf numFmtId="0" fontId="25" fillId="0" borderId="0" xfId="7" applyFont="1"/>
    <xf numFmtId="0" fontId="26" fillId="0" borderId="1" xfId="7" applyFont="1" applyBorder="1" applyAlignment="1">
      <alignment vertical="center" wrapText="1"/>
    </xf>
    <xf numFmtId="0" fontId="22" fillId="0" borderId="1" xfId="7" applyFont="1" applyBorder="1" applyAlignment="1">
      <alignment horizontal="right" vertical="center"/>
    </xf>
    <xf numFmtId="0" fontId="22" fillId="0" borderId="1" xfId="7" applyFont="1" applyBorder="1" applyAlignment="1">
      <alignment horizontal="center" vertical="center"/>
    </xf>
    <xf numFmtId="2" fontId="22" fillId="0" borderId="1" xfId="7" applyNumberFormat="1" applyFont="1" applyBorder="1" applyAlignment="1">
      <alignment horizontal="center" vertical="center"/>
    </xf>
    <xf numFmtId="2" fontId="22" fillId="0" borderId="1" xfId="4" applyNumberFormat="1" applyFont="1" applyBorder="1" applyAlignment="1">
      <alignment horizontal="right" vertical="center"/>
    </xf>
    <xf numFmtId="2" fontId="22" fillId="0" borderId="1" xfId="7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left" vertical="center"/>
    </xf>
    <xf numFmtId="0" fontId="24" fillId="0" borderId="1" xfId="7" applyFont="1" applyBorder="1" applyAlignment="1">
      <alignment vertical="center"/>
    </xf>
    <xf numFmtId="0" fontId="27" fillId="0" borderId="1" xfId="11" applyFont="1" applyBorder="1" applyAlignment="1">
      <alignment horizontal="left" vertical="center"/>
    </xf>
    <xf numFmtId="0" fontId="27" fillId="0" borderId="1" xfId="11" applyFont="1" applyBorder="1" applyAlignment="1">
      <alignment vertical="center" wrapText="1"/>
    </xf>
    <xf numFmtId="0" fontId="23" fillId="0" borderId="1" xfId="7" applyFont="1" applyBorder="1"/>
    <xf numFmtId="0" fontId="9" fillId="0" borderId="1" xfId="11" applyFont="1" applyBorder="1"/>
    <xf numFmtId="0" fontId="22" fillId="0" borderId="1" xfId="7" applyFont="1" applyBorder="1" applyAlignment="1">
      <alignment wrapText="1"/>
    </xf>
    <xf numFmtId="0" fontId="23" fillId="0" borderId="1" xfId="7" applyFont="1" applyBorder="1" applyAlignment="1">
      <alignment horizontal="right" vertical="center"/>
    </xf>
    <xf numFmtId="2" fontId="23" fillId="0" borderId="1" xfId="7" applyNumberFormat="1" applyFont="1" applyBorder="1" applyAlignment="1">
      <alignment horizontal="right" vertical="center"/>
    </xf>
    <xf numFmtId="0" fontId="23" fillId="0" borderId="1" xfId="7" applyFont="1" applyBorder="1" applyAlignment="1">
      <alignment horizontal="center" vertical="center"/>
    </xf>
    <xf numFmtId="2" fontId="23" fillId="0" borderId="1" xfId="7" applyNumberFormat="1" applyFont="1" applyBorder="1" applyAlignment="1">
      <alignment horizontal="center" vertical="center"/>
    </xf>
    <xf numFmtId="0" fontId="22" fillId="0" borderId="1" xfId="7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24" fillId="0" borderId="1" xfId="7" applyFont="1" applyBorder="1" applyAlignment="1">
      <alignment vertical="top" wrapText="1"/>
    </xf>
    <xf numFmtId="0" fontId="29" fillId="0" borderId="1" xfId="12" applyFont="1" applyBorder="1" applyAlignment="1">
      <alignment horizontal="right" vertical="center" wrapText="1"/>
    </xf>
    <xf numFmtId="0" fontId="27" fillId="0" borderId="1" xfId="11" applyFont="1" applyBorder="1" applyAlignment="1">
      <alignment vertical="top"/>
    </xf>
    <xf numFmtId="0" fontId="27" fillId="0" borderId="1" xfId="13" applyFont="1" applyBorder="1" applyAlignment="1">
      <alignment vertical="top"/>
    </xf>
    <xf numFmtId="0" fontId="22" fillId="0" borderId="1" xfId="7" applyFont="1" applyBorder="1" applyAlignment="1">
      <alignment vertical="top" wrapText="1"/>
    </xf>
    <xf numFmtId="2" fontId="23" fillId="0" borderId="1" xfId="7" applyNumberFormat="1" applyFont="1" applyBorder="1" applyAlignment="1">
      <alignment horizontal="right"/>
    </xf>
    <xf numFmtId="2" fontId="23" fillId="0" borderId="1" xfId="7" applyNumberFormat="1" applyFont="1" applyBorder="1" applyAlignment="1">
      <alignment horizontal="center"/>
    </xf>
    <xf numFmtId="0" fontId="22" fillId="0" borderId="1" xfId="7" applyFont="1" applyBorder="1" applyAlignment="1">
      <alignment horizontal="right"/>
    </xf>
    <xf numFmtId="0" fontId="23" fillId="0" borderId="1" xfId="7" applyFont="1" applyBorder="1" applyAlignment="1">
      <alignment vertical="top"/>
    </xf>
    <xf numFmtId="0" fontId="9" fillId="0" borderId="1" xfId="14" applyFont="1" applyBorder="1" applyAlignment="1">
      <alignment vertical="top"/>
    </xf>
    <xf numFmtId="0" fontId="27" fillId="0" borderId="1" xfId="14" applyFont="1" applyBorder="1" applyAlignment="1">
      <alignment vertical="top"/>
    </xf>
    <xf numFmtId="0" fontId="32" fillId="0" borderId="0" xfId="15" applyFont="1"/>
    <xf numFmtId="0" fontId="3" fillId="2" borderId="0" xfId="0" applyFont="1" applyFill="1"/>
    <xf numFmtId="0" fontId="14" fillId="2" borderId="7" xfId="0" applyFont="1" applyFill="1" applyBorder="1"/>
    <xf numFmtId="0" fontId="19" fillId="2" borderId="7" xfId="0" applyFont="1" applyFill="1" applyBorder="1"/>
    <xf numFmtId="0" fontId="14" fillId="0" borderId="7" xfId="0" applyFont="1" applyBorder="1"/>
    <xf numFmtId="0" fontId="21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horizontal="center"/>
    </xf>
    <xf numFmtId="0" fontId="21" fillId="2" borderId="7" xfId="0" applyFont="1" applyFill="1" applyBorder="1"/>
    <xf numFmtId="0" fontId="14" fillId="2" borderId="0" xfId="0" applyFont="1" applyFill="1" applyAlignment="1">
      <alignment horizontal="center" wrapText="1"/>
    </xf>
    <xf numFmtId="0" fontId="21" fillId="2" borderId="4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2" fontId="14" fillId="4" borderId="1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3" fontId="21" fillId="0" borderId="1" xfId="4" applyFont="1" applyFill="1" applyBorder="1" applyAlignment="1">
      <alignment vertical="center"/>
    </xf>
    <xf numFmtId="2" fontId="21" fillId="2" borderId="1" xfId="0" applyNumberFormat="1" applyFont="1" applyFill="1" applyBorder="1" applyAlignment="1">
      <alignment horizontal="right" vertical="center"/>
    </xf>
    <xf numFmtId="2" fontId="2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2" fontId="22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right" vertical="center"/>
    </xf>
    <xf numFmtId="2" fontId="23" fillId="4" borderId="1" xfId="0" applyNumberFormat="1" applyFont="1" applyFill="1" applyBorder="1" applyAlignment="1">
      <alignment horizontal="right" vertical="center"/>
    </xf>
    <xf numFmtId="2" fontId="23" fillId="2" borderId="1" xfId="0" applyNumberFormat="1" applyFont="1" applyFill="1" applyBorder="1" applyAlignment="1">
      <alignment horizontal="right" vertical="center" wrapText="1"/>
    </xf>
    <xf numFmtId="2" fontId="21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 wrapText="1"/>
    </xf>
    <xf numFmtId="43" fontId="14" fillId="0" borderId="1" xfId="4" applyFont="1" applyFill="1" applyBorder="1" applyAlignment="1">
      <alignment vertical="center"/>
    </xf>
    <xf numFmtId="2" fontId="14" fillId="2" borderId="1" xfId="4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43" fontId="23" fillId="4" borderId="1" xfId="0" applyNumberFormat="1" applyFont="1" applyFill="1" applyBorder="1" applyAlignment="1">
      <alignment horizontal="right" vertical="center"/>
    </xf>
    <xf numFmtId="2" fontId="23" fillId="4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43" fontId="14" fillId="2" borderId="1" xfId="4" applyFont="1" applyFill="1" applyBorder="1" applyAlignment="1">
      <alignment horizontal="center" vertical="center"/>
    </xf>
    <xf numFmtId="43" fontId="21" fillId="4" borderId="1" xfId="4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9" fontId="14" fillId="0" borderId="1" xfId="8" applyFont="1" applyFill="1" applyBorder="1" applyAlignment="1">
      <alignment vertical="center"/>
    </xf>
    <xf numFmtId="2" fontId="32" fillId="0" borderId="1" xfId="0" applyNumberFormat="1" applyFont="1" applyBorder="1" applyAlignment="1">
      <alignment horizontal="center" vertical="center"/>
    </xf>
    <xf numFmtId="9" fontId="14" fillId="2" borderId="1" xfId="8" applyFont="1" applyFill="1" applyBorder="1" applyAlignment="1">
      <alignment horizontal="center" vertical="center"/>
    </xf>
    <xf numFmtId="166" fontId="14" fillId="0" borderId="1" xfId="4" applyNumberFormat="1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horizontal="center" vertical="center"/>
    </xf>
    <xf numFmtId="43" fontId="14" fillId="2" borderId="1" xfId="4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43" fontId="14" fillId="2" borderId="1" xfId="0" applyNumberFormat="1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10" fontId="14" fillId="0" borderId="1" xfId="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0" fontId="14" fillId="2" borderId="1" xfId="8" applyNumberFormat="1" applyFont="1" applyFill="1" applyBorder="1" applyAlignment="1">
      <alignment horizontal="center" vertical="center"/>
    </xf>
    <xf numFmtId="167" fontId="14" fillId="0" borderId="1" xfId="4" applyNumberFormat="1" applyFont="1" applyFill="1" applyBorder="1" applyAlignment="1">
      <alignment vertical="center"/>
    </xf>
    <xf numFmtId="9" fontId="14" fillId="0" borderId="1" xfId="8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/>
    </xf>
    <xf numFmtId="0" fontId="21" fillId="4" borderId="1" xfId="4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43" fontId="21" fillId="2" borderId="1" xfId="4" applyFont="1" applyFill="1" applyBorder="1" applyAlignment="1">
      <alignment horizontal="center" vertical="center"/>
    </xf>
    <xf numFmtId="9" fontId="21" fillId="2" borderId="1" xfId="8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right" vertical="center"/>
    </xf>
    <xf numFmtId="0" fontId="14" fillId="2" borderId="6" xfId="0" applyFont="1" applyFill="1" applyBorder="1" applyAlignment="1">
      <alignment vertical="center"/>
    </xf>
    <xf numFmtId="0" fontId="23" fillId="2" borderId="1" xfId="1" applyFont="1" applyFill="1" applyBorder="1" applyAlignment="1">
      <alignment vertical="center" wrapText="1"/>
    </xf>
    <xf numFmtId="1" fontId="22" fillId="2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right" vertical="center" wrapText="1"/>
    </xf>
    <xf numFmtId="2" fontId="21" fillId="4" borderId="1" xfId="0" applyNumberFormat="1" applyFont="1" applyFill="1" applyBorder="1" applyAlignment="1">
      <alignment horizontal="righ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43" fontId="34" fillId="2" borderId="1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14" fillId="2" borderId="5" xfId="0" applyFont="1" applyFill="1" applyBorder="1" applyAlignment="1">
      <alignment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14" fillId="2" borderId="8" xfId="0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14" fillId="6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43" fontId="21" fillId="0" borderId="1" xfId="0" applyNumberFormat="1" applyFont="1" applyBorder="1" applyAlignment="1">
      <alignment horizontal="center" vertical="center"/>
    </xf>
    <xf numFmtId="43" fontId="2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6" borderId="0" xfId="0" applyFont="1" applyFill="1" applyAlignment="1">
      <alignment vertical="center"/>
    </xf>
    <xf numFmtId="2" fontId="21" fillId="0" borderId="1" xfId="4" applyNumberFormat="1" applyFont="1" applyFill="1" applyBorder="1" applyAlignment="1">
      <alignment horizontal="right" vertical="center"/>
    </xf>
    <xf numFmtId="0" fontId="21" fillId="2" borderId="5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/>
    </xf>
    <xf numFmtId="43" fontId="14" fillId="0" borderId="1" xfId="4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43" fontId="21" fillId="0" borderId="1" xfId="4" applyFont="1" applyFill="1" applyBorder="1" applyAlignment="1">
      <alignment horizontal="center" vertical="center"/>
    </xf>
    <xf numFmtId="2" fontId="14" fillId="0" borderId="1" xfId="4" applyNumberFormat="1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43" fontId="23" fillId="4" borderId="1" xfId="4" applyFont="1" applyFill="1" applyBorder="1" applyAlignment="1">
      <alignment horizontal="left" vertical="center"/>
    </xf>
    <xf numFmtId="43" fontId="23" fillId="4" borderId="1" xfId="4" applyFont="1" applyFill="1" applyBorder="1" applyAlignment="1">
      <alignment horizontal="right" vertical="center"/>
    </xf>
    <xf numFmtId="2" fontId="23" fillId="4" borderId="1" xfId="4" applyNumberFormat="1" applyFont="1" applyFill="1" applyBorder="1" applyAlignment="1">
      <alignment horizontal="right" vertical="center"/>
    </xf>
    <xf numFmtId="43" fontId="34" fillId="2" borderId="1" xfId="4" applyFont="1" applyFill="1" applyBorder="1" applyAlignment="1">
      <alignment horizontal="left" vertical="center"/>
    </xf>
    <xf numFmtId="43" fontId="34" fillId="2" borderId="3" xfId="4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1" fillId="2" borderId="5" xfId="0" applyFont="1" applyFill="1" applyBorder="1" applyAlignment="1">
      <alignment horizontal="center" vertical="center" wrapText="1"/>
    </xf>
    <xf numFmtId="43" fontId="33" fillId="0" borderId="1" xfId="4" applyFont="1" applyFill="1" applyBorder="1" applyAlignment="1">
      <alignment horizontal="right" vertical="center"/>
    </xf>
    <xf numFmtId="43" fontId="34" fillId="0" borderId="1" xfId="4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center" vertical="center" wrapText="1"/>
    </xf>
    <xf numFmtId="2" fontId="34" fillId="0" borderId="1" xfId="4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vertical="center"/>
    </xf>
    <xf numFmtId="9" fontId="23" fillId="4" borderId="1" xfId="8" applyFont="1" applyFill="1" applyBorder="1" applyAlignment="1">
      <alignment horizontal="center" vertical="center"/>
    </xf>
    <xf numFmtId="2" fontId="23" fillId="4" borderId="1" xfId="0" applyNumberFormat="1" applyFont="1" applyFill="1" applyBorder="1" applyAlignment="1">
      <alignment horizontal="right" vertical="center" wrapText="1"/>
    </xf>
    <xf numFmtId="43" fontId="23" fillId="4" borderId="1" xfId="0" applyNumberFormat="1" applyFont="1" applyFill="1" applyBorder="1" applyAlignment="1">
      <alignment horizontal="center" vertical="center"/>
    </xf>
    <xf numFmtId="43" fontId="34" fillId="4" borderId="1" xfId="4" applyFont="1" applyFill="1" applyBorder="1" applyAlignment="1">
      <alignment horizontal="left" vertical="center"/>
    </xf>
    <xf numFmtId="2" fontId="34" fillId="4" borderId="1" xfId="4" applyNumberFormat="1" applyFont="1" applyFill="1" applyBorder="1" applyAlignment="1">
      <alignment horizontal="right" vertical="center"/>
    </xf>
    <xf numFmtId="43" fontId="34" fillId="4" borderId="1" xfId="4" applyFont="1" applyFill="1" applyBorder="1" applyAlignment="1">
      <alignment horizontal="center" vertical="center" wrapText="1"/>
    </xf>
    <xf numFmtId="2" fontId="34" fillId="4" borderId="1" xfId="0" applyNumberFormat="1" applyFont="1" applyFill="1" applyBorder="1" applyAlignment="1">
      <alignment horizontal="center" vertical="center"/>
    </xf>
    <xf numFmtId="2" fontId="34" fillId="4" borderId="1" xfId="4" applyNumberFormat="1" applyFont="1" applyFill="1" applyBorder="1" applyAlignment="1">
      <alignment horizontal="left" vertical="center"/>
    </xf>
    <xf numFmtId="2" fontId="34" fillId="2" borderId="1" xfId="4" applyNumberFormat="1" applyFont="1" applyFill="1" applyBorder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1" fillId="2" borderId="0" xfId="0" applyFont="1" applyFill="1" applyAlignment="1">
      <alignment horizontal="right"/>
    </xf>
    <xf numFmtId="2" fontId="34" fillId="2" borderId="0" xfId="4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43" fontId="3" fillId="2" borderId="0" xfId="0" applyNumberFormat="1" applyFont="1" applyFill="1"/>
    <xf numFmtId="0" fontId="5" fillId="2" borderId="0" xfId="0" applyFont="1" applyFill="1"/>
    <xf numFmtId="2" fontId="3" fillId="2" borderId="0" xfId="0" applyNumberFormat="1" applyFont="1" applyFill="1"/>
    <xf numFmtId="0" fontId="1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3" fillId="2" borderId="0" xfId="0" applyFont="1" applyFill="1"/>
    <xf numFmtId="0" fontId="34" fillId="0" borderId="0" xfId="0" applyFont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9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/>
    <xf numFmtId="2" fontId="21" fillId="4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center" wrapText="1"/>
    </xf>
    <xf numFmtId="2" fontId="21" fillId="4" borderId="1" xfId="0" applyNumberFormat="1" applyFont="1" applyFill="1" applyBorder="1" applyAlignment="1">
      <alignment horizontal="right"/>
    </xf>
    <xf numFmtId="0" fontId="14" fillId="2" borderId="0" xfId="0" applyFont="1" applyFill="1" applyAlignment="1">
      <alignment vertical="top"/>
    </xf>
    <xf numFmtId="43" fontId="14" fillId="2" borderId="1" xfId="0" applyNumberFormat="1" applyFont="1" applyFill="1" applyBorder="1" applyAlignment="1">
      <alignment vertical="top"/>
    </xf>
    <xf numFmtId="2" fontId="14" fillId="2" borderId="1" xfId="0" applyNumberFormat="1" applyFont="1" applyFill="1" applyBorder="1" applyAlignment="1">
      <alignment horizontal="right" vertical="top"/>
    </xf>
    <xf numFmtId="0" fontId="14" fillId="2" borderId="1" xfId="0" applyFont="1" applyFill="1" applyBorder="1" applyAlignment="1">
      <alignment vertical="top"/>
    </xf>
    <xf numFmtId="2" fontId="14" fillId="2" borderId="1" xfId="12" applyNumberFormat="1" applyFont="1" applyFill="1" applyBorder="1" applyAlignment="1">
      <alignment horizontal="right" vertical="center"/>
    </xf>
    <xf numFmtId="2" fontId="21" fillId="4" borderId="5" xfId="0" applyNumberFormat="1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center" vertical="top" wrapText="1"/>
    </xf>
    <xf numFmtId="2" fontId="14" fillId="2" borderId="5" xfId="4" applyNumberFormat="1" applyFont="1" applyFill="1" applyBorder="1" applyAlignment="1">
      <alignment vertical="center"/>
    </xf>
    <xf numFmtId="2" fontId="14" fillId="2" borderId="1" xfId="0" applyNumberFormat="1" applyFont="1" applyFill="1" applyBorder="1" applyAlignment="1">
      <alignment vertical="center"/>
    </xf>
    <xf numFmtId="2" fontId="14" fillId="2" borderId="5" xfId="0" applyNumberFormat="1" applyFont="1" applyFill="1" applyBorder="1" applyAlignment="1">
      <alignment vertical="center"/>
    </xf>
    <xf numFmtId="2" fontId="14" fillId="2" borderId="1" xfId="0" applyNumberFormat="1" applyFont="1" applyFill="1" applyBorder="1" applyAlignment="1">
      <alignment vertical="top"/>
    </xf>
    <xf numFmtId="0" fontId="14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14" fillId="2" borderId="1" xfId="0" applyFont="1" applyFill="1" applyBorder="1" applyAlignment="1">
      <alignment horizontal="left" wrapText="1"/>
    </xf>
    <xf numFmtId="43" fontId="14" fillId="2" borderId="1" xfId="0" applyNumberFormat="1" applyFont="1" applyFill="1" applyBorder="1"/>
    <xf numFmtId="2" fontId="14" fillId="2" borderId="1" xfId="0" applyNumberFormat="1" applyFont="1" applyFill="1" applyBorder="1" applyAlignment="1">
      <alignment horizontal="right"/>
    </xf>
    <xf numFmtId="2" fontId="21" fillId="4" borderId="8" xfId="0" applyNumberFormat="1" applyFont="1" applyFill="1" applyBorder="1" applyAlignment="1">
      <alignment horizontal="right"/>
    </xf>
    <xf numFmtId="43" fontId="14" fillId="2" borderId="8" xfId="4" applyFont="1" applyFill="1" applyBorder="1" applyAlignment="1">
      <alignment vertical="center"/>
    </xf>
    <xf numFmtId="43" fontId="14" fillId="2" borderId="8" xfId="0" applyNumberFormat="1" applyFont="1" applyFill="1" applyBorder="1" applyAlignment="1">
      <alignment vertical="center"/>
    </xf>
    <xf numFmtId="2" fontId="14" fillId="2" borderId="1" xfId="0" applyNumberFormat="1" applyFont="1" applyFill="1" applyBorder="1"/>
    <xf numFmtId="0" fontId="14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center" vertical="center"/>
    </xf>
    <xf numFmtId="43" fontId="14" fillId="2" borderId="5" xfId="0" applyNumberFormat="1" applyFont="1" applyFill="1" applyBorder="1"/>
    <xf numFmtId="0" fontId="14" fillId="2" borderId="5" xfId="0" applyFont="1" applyFill="1" applyBorder="1"/>
    <xf numFmtId="2" fontId="14" fillId="2" borderId="5" xfId="0" applyNumberFormat="1" applyFont="1" applyFill="1" applyBorder="1"/>
    <xf numFmtId="2" fontId="14" fillId="2" borderId="5" xfId="12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" xfId="0" applyFont="1" applyFill="1" applyBorder="1"/>
    <xf numFmtId="0" fontId="14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center" vertical="center"/>
    </xf>
    <xf numFmtId="43" fontId="14" fillId="2" borderId="6" xfId="0" applyNumberFormat="1" applyFont="1" applyFill="1" applyBorder="1"/>
    <xf numFmtId="0" fontId="14" fillId="2" borderId="6" xfId="0" applyFont="1" applyFill="1" applyBorder="1"/>
    <xf numFmtId="2" fontId="14" fillId="2" borderId="6" xfId="0" applyNumberFormat="1" applyFont="1" applyFill="1" applyBorder="1"/>
    <xf numFmtId="2" fontId="14" fillId="2" borderId="6" xfId="12" applyNumberFormat="1" applyFont="1" applyFill="1" applyBorder="1" applyAlignment="1">
      <alignment horizontal="right" vertical="center"/>
    </xf>
    <xf numFmtId="2" fontId="21" fillId="4" borderId="6" xfId="0" applyNumberFormat="1" applyFont="1" applyFill="1" applyBorder="1" applyAlignment="1">
      <alignment horizontal="right"/>
    </xf>
    <xf numFmtId="43" fontId="14" fillId="2" borderId="6" xfId="4" applyFont="1" applyFill="1" applyBorder="1" applyAlignment="1">
      <alignment vertical="center"/>
    </xf>
    <xf numFmtId="2" fontId="14" fillId="2" borderId="6" xfId="0" applyNumberFormat="1" applyFont="1" applyFill="1" applyBorder="1" applyAlignment="1">
      <alignment vertical="center"/>
    </xf>
    <xf numFmtId="43" fontId="14" fillId="2" borderId="6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wrapText="1"/>
    </xf>
    <xf numFmtId="0" fontId="22" fillId="2" borderId="8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left" vertical="center" wrapText="1"/>
    </xf>
    <xf numFmtId="2" fontId="14" fillId="2" borderId="6" xfId="0" applyNumberFormat="1" applyFont="1" applyFill="1" applyBorder="1" applyAlignment="1">
      <alignment horizontal="right"/>
    </xf>
    <xf numFmtId="0" fontId="21" fillId="2" borderId="6" xfId="0" applyFont="1" applyFill="1" applyBorder="1"/>
    <xf numFmtId="2" fontId="21" fillId="2" borderId="6" xfId="0" applyNumberFormat="1" applyFont="1" applyFill="1" applyBorder="1"/>
    <xf numFmtId="2" fontId="21" fillId="2" borderId="6" xfId="12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wrapText="1"/>
    </xf>
    <xf numFmtId="43" fontId="21" fillId="2" borderId="6" xfId="4" applyFont="1" applyFill="1" applyBorder="1" applyAlignment="1">
      <alignment vertical="center"/>
    </xf>
    <xf numFmtId="2" fontId="21" fillId="2" borderId="6" xfId="0" applyNumberFormat="1" applyFont="1" applyFill="1" applyBorder="1" applyAlignment="1">
      <alignment vertical="center"/>
    </xf>
    <xf numFmtId="43" fontId="21" fillId="2" borderId="6" xfId="0" applyNumberFormat="1" applyFont="1" applyFill="1" applyBorder="1" applyAlignment="1">
      <alignment vertical="center"/>
    </xf>
    <xf numFmtId="2" fontId="21" fillId="2" borderId="6" xfId="0" applyNumberFormat="1" applyFont="1" applyFill="1" applyBorder="1" applyAlignment="1">
      <alignment vertical="center" wrapText="1"/>
    </xf>
    <xf numFmtId="43" fontId="21" fillId="2" borderId="6" xfId="0" applyNumberFormat="1" applyFont="1" applyFill="1" applyBorder="1" applyAlignment="1">
      <alignment horizontal="center" wrapText="1"/>
    </xf>
    <xf numFmtId="43" fontId="14" fillId="2" borderId="6" xfId="0" applyNumberFormat="1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/>
    </xf>
    <xf numFmtId="2" fontId="14" fillId="2" borderId="1" xfId="4" applyNumberFormat="1" applyFont="1" applyFill="1" applyBorder="1" applyAlignment="1">
      <alignment vertical="center"/>
    </xf>
    <xf numFmtId="0" fontId="22" fillId="2" borderId="8" xfId="3" applyFont="1" applyFill="1" applyBorder="1" applyAlignment="1">
      <alignment horizontal="center"/>
    </xf>
    <xf numFmtId="0" fontId="22" fillId="2" borderId="6" xfId="3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2" fillId="4" borderId="1" xfId="0" applyFont="1" applyFill="1" applyBorder="1"/>
    <xf numFmtId="0" fontId="23" fillId="4" borderId="1" xfId="12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wrapText="1"/>
    </xf>
    <xf numFmtId="2" fontId="22" fillId="4" borderId="1" xfId="0" applyNumberFormat="1" applyFont="1" applyFill="1" applyBorder="1" applyAlignment="1">
      <alignment horizontal="right" wrapText="1"/>
    </xf>
    <xf numFmtId="2" fontId="23" fillId="4" borderId="1" xfId="0" applyNumberFormat="1" applyFont="1" applyFill="1" applyBorder="1" applyAlignment="1">
      <alignment horizontal="right"/>
    </xf>
    <xf numFmtId="2" fontId="23" fillId="4" borderId="1" xfId="0" applyNumberFormat="1" applyFont="1" applyFill="1" applyBorder="1" applyAlignment="1">
      <alignment vertical="center"/>
    </xf>
    <xf numFmtId="2" fontId="23" fillId="4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right" wrapText="1"/>
    </xf>
    <xf numFmtId="0" fontId="14" fillId="2" borderId="5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166" fontId="14" fillId="2" borderId="1" xfId="4" applyNumberFormat="1" applyFont="1" applyFill="1" applyBorder="1" applyAlignment="1">
      <alignment vertical="top"/>
    </xf>
    <xf numFmtId="0" fontId="21" fillId="2" borderId="1" xfId="0" applyFont="1" applyFill="1" applyBorder="1"/>
    <xf numFmtId="166" fontId="21" fillId="2" borderId="1" xfId="4" applyNumberFormat="1" applyFont="1" applyFill="1" applyBorder="1" applyAlignment="1"/>
    <xf numFmtId="2" fontId="21" fillId="2" borderId="1" xfId="12" applyNumberFormat="1" applyFont="1" applyFill="1" applyBorder="1" applyAlignment="1">
      <alignment horizontal="right" vertical="center"/>
    </xf>
    <xf numFmtId="2" fontId="21" fillId="2" borderId="1" xfId="0" applyNumberFormat="1" applyFont="1" applyFill="1" applyBorder="1" applyAlignment="1">
      <alignment vertical="center"/>
    </xf>
    <xf numFmtId="166" fontId="14" fillId="2" borderId="1" xfId="4" applyNumberFormat="1" applyFont="1" applyFill="1" applyBorder="1" applyAlignment="1"/>
    <xf numFmtId="2" fontId="14" fillId="2" borderId="1" xfId="4" applyNumberFormat="1" applyFont="1" applyFill="1" applyBorder="1" applyAlignment="1">
      <alignment horizontal="right"/>
    </xf>
    <xf numFmtId="2" fontId="14" fillId="2" borderId="1" xfId="0" applyNumberFormat="1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/>
    <xf numFmtId="2" fontId="14" fillId="4" borderId="1" xfId="0" applyNumberFormat="1" applyFont="1" applyFill="1" applyBorder="1"/>
    <xf numFmtId="0" fontId="22" fillId="4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/>
    </xf>
    <xf numFmtId="43" fontId="21" fillId="2" borderId="1" xfId="0" applyNumberFormat="1" applyFont="1" applyFill="1" applyBorder="1"/>
    <xf numFmtId="168" fontId="14" fillId="2" borderId="1" xfId="0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center" vertical="top" wrapText="1"/>
    </xf>
    <xf numFmtId="2" fontId="14" fillId="2" borderId="1" xfId="4" applyNumberFormat="1" applyFont="1" applyFill="1" applyBorder="1" applyAlignment="1">
      <alignment horizontal="right" vertical="center" wrapText="1"/>
    </xf>
    <xf numFmtId="2" fontId="21" fillId="4" borderId="6" xfId="0" applyNumberFormat="1" applyFont="1" applyFill="1" applyBorder="1" applyAlignment="1">
      <alignment horizontal="right" vertical="top"/>
    </xf>
    <xf numFmtId="0" fontId="21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14" fillId="2" borderId="6" xfId="0" applyFont="1" applyFill="1" applyBorder="1" applyAlignment="1">
      <alignment horizontal="center" vertical="top" wrapText="1"/>
    </xf>
    <xf numFmtId="2" fontId="21" fillId="4" borderId="1" xfId="0" applyNumberFormat="1" applyFont="1" applyFill="1" applyBorder="1" applyAlignment="1">
      <alignment horizontal="right" vertical="top"/>
    </xf>
    <xf numFmtId="0" fontId="22" fillId="2" borderId="1" xfId="0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right" vertical="top" wrapText="1"/>
    </xf>
    <xf numFmtId="2" fontId="1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wrapText="1"/>
    </xf>
    <xf numFmtId="2" fontId="14" fillId="2" borderId="6" xfId="0" applyNumberFormat="1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top"/>
    </xf>
    <xf numFmtId="2" fontId="41" fillId="2" borderId="1" xfId="16" applyNumberFormat="1" applyFont="1" applyFill="1" applyBorder="1" applyAlignment="1">
      <alignment horizontal="right" vertical="center" wrapText="1"/>
    </xf>
    <xf numFmtId="0" fontId="23" fillId="4" borderId="0" xfId="0" applyFont="1" applyFill="1" applyAlignment="1">
      <alignment horizontal="left" vertical="center" wrapText="1"/>
    </xf>
    <xf numFmtId="2" fontId="22" fillId="4" borderId="1" xfId="0" applyNumberFormat="1" applyFont="1" applyFill="1" applyBorder="1" applyAlignment="1">
      <alignment horizontal="right" vertical="center" wrapText="1"/>
    </xf>
    <xf numFmtId="2" fontId="23" fillId="2" borderId="1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top"/>
    </xf>
    <xf numFmtId="2" fontId="14" fillId="4" borderId="1" xfId="0" applyNumberFormat="1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left" vertical="top" wrapText="1"/>
    </xf>
    <xf numFmtId="2" fontId="21" fillId="2" borderId="1" xfId="0" applyNumberFormat="1" applyFont="1" applyFill="1" applyBorder="1" applyAlignment="1">
      <alignment horizontal="center" vertical="top"/>
    </xf>
    <xf numFmtId="43" fontId="21" fillId="2" borderId="1" xfId="0" applyNumberFormat="1" applyFont="1" applyFill="1" applyBorder="1" applyAlignment="1">
      <alignment vertical="top"/>
    </xf>
    <xf numFmtId="0" fontId="21" fillId="2" borderId="1" xfId="0" applyFont="1" applyFill="1" applyBorder="1" applyAlignment="1">
      <alignment vertical="top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43" fontId="23" fillId="4" borderId="1" xfId="0" applyNumberFormat="1" applyFont="1" applyFill="1" applyBorder="1"/>
    <xf numFmtId="0" fontId="14" fillId="4" borderId="1" xfId="0" applyFont="1" applyFill="1" applyBorder="1" applyAlignment="1">
      <alignment vertical="top"/>
    </xf>
    <xf numFmtId="43" fontId="23" fillId="4" borderId="1" xfId="0" applyNumberFormat="1" applyFont="1" applyFill="1" applyBorder="1" applyAlignment="1">
      <alignment vertical="center"/>
    </xf>
    <xf numFmtId="2" fontId="22" fillId="4" borderId="1" xfId="0" applyNumberFormat="1" applyFont="1" applyFill="1" applyBorder="1" applyAlignment="1">
      <alignment vertical="center"/>
    </xf>
    <xf numFmtId="2" fontId="34" fillId="4" borderId="1" xfId="4" applyNumberFormat="1" applyFont="1" applyFill="1" applyBorder="1" applyAlignment="1">
      <alignment vertical="center"/>
    </xf>
    <xf numFmtId="2" fontId="22" fillId="4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/>
    <xf numFmtId="0" fontId="23" fillId="2" borderId="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34" fillId="4" borderId="1" xfId="0" applyFont="1" applyFill="1" applyBorder="1" applyAlignment="1">
      <alignment horizontal="right" vertical="center"/>
    </xf>
    <xf numFmtId="43" fontId="34" fillId="4" borderId="1" xfId="4" applyFont="1" applyFill="1" applyBorder="1" applyAlignment="1">
      <alignment horizontal="right" vertical="center"/>
    </xf>
    <xf numFmtId="43" fontId="34" fillId="4" borderId="1" xfId="4" applyFont="1" applyFill="1" applyBorder="1" applyAlignment="1">
      <alignment horizontal="center" vertical="center"/>
    </xf>
    <xf numFmtId="2" fontId="34" fillId="4" borderId="1" xfId="4" applyNumberFormat="1" applyFont="1" applyFill="1" applyBorder="1" applyAlignment="1">
      <alignment horizontal="center" vertical="center"/>
    </xf>
    <xf numFmtId="2" fontId="34" fillId="2" borderId="1" xfId="4" applyNumberFormat="1" applyFont="1" applyFill="1" applyBorder="1" applyAlignment="1">
      <alignment horizontal="center"/>
    </xf>
    <xf numFmtId="0" fontId="42" fillId="2" borderId="0" xfId="0" applyFont="1" applyFill="1" applyAlignment="1">
      <alignment wrapText="1"/>
    </xf>
    <xf numFmtId="0" fontId="42" fillId="2" borderId="0" xfId="0" applyFont="1" applyFill="1"/>
    <xf numFmtId="43" fontId="14" fillId="2" borderId="0" xfId="4" applyFont="1" applyFill="1" applyAlignment="1">
      <alignment horizontal="center" vertical="center"/>
    </xf>
    <xf numFmtId="43" fontId="14" fillId="2" borderId="0" xfId="0" applyNumberFormat="1" applyFont="1" applyFill="1"/>
    <xf numFmtId="43" fontId="21" fillId="0" borderId="0" xfId="0" applyNumberFormat="1" applyFont="1" applyAlignment="1">
      <alignment horizontal="center"/>
    </xf>
    <xf numFmtId="43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43" fontId="14" fillId="2" borderId="0" xfId="0" applyNumberFormat="1" applyFont="1" applyFill="1" applyAlignment="1">
      <alignment horizontal="center"/>
    </xf>
    <xf numFmtId="2" fontId="14" fillId="2" borderId="0" xfId="0" applyNumberFormat="1" applyFont="1" applyFill="1"/>
    <xf numFmtId="2" fontId="2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43" fontId="3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1" fillId="2" borderId="1" xfId="0" applyFont="1" applyFill="1" applyBorder="1" applyAlignment="1">
      <alignment vertical="center"/>
    </xf>
    <xf numFmtId="2" fontId="21" fillId="7" borderId="6" xfId="0" applyNumberFormat="1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2" fontId="21" fillId="7" borderId="1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22" fillId="0" borderId="1" xfId="1" applyFont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2" fontId="14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vertical="top"/>
    </xf>
    <xf numFmtId="0" fontId="14" fillId="2" borderId="1" xfId="15" applyFont="1" applyFill="1" applyBorder="1" applyAlignment="1">
      <alignment vertical="center"/>
    </xf>
    <xf numFmtId="2" fontId="40" fillId="2" borderId="1" xfId="17" applyNumberFormat="1" applyFont="1" applyFill="1" applyBorder="1" applyAlignment="1">
      <alignment vertical="center"/>
    </xf>
    <xf numFmtId="2" fontId="14" fillId="2" borderId="1" xfId="0" applyNumberFormat="1" applyFont="1" applyFill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2" fontId="14" fillId="2" borderId="1" xfId="4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top"/>
    </xf>
    <xf numFmtId="0" fontId="14" fillId="0" borderId="3" xfId="0" applyFont="1" applyBorder="1" applyAlignment="1">
      <alignment vertical="top" wrapText="1"/>
    </xf>
    <xf numFmtId="43" fontId="14" fillId="2" borderId="3" xfId="0" applyNumberFormat="1" applyFont="1" applyFill="1" applyBorder="1" applyAlignment="1">
      <alignment vertical="top"/>
    </xf>
    <xf numFmtId="0" fontId="1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2" fontId="21" fillId="7" borderId="5" xfId="0" applyNumberFormat="1" applyFont="1" applyFill="1" applyBorder="1" applyAlignment="1">
      <alignment vertical="center" wrapText="1"/>
    </xf>
    <xf numFmtId="2" fontId="14" fillId="2" borderId="5" xfId="4" applyNumberFormat="1" applyFont="1" applyFill="1" applyBorder="1" applyAlignment="1">
      <alignment vertical="center" wrapText="1"/>
    </xf>
    <xf numFmtId="2" fontId="14" fillId="2" borderId="5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 wrapText="1"/>
    </xf>
    <xf numFmtId="2" fontId="21" fillId="7" borderId="8" xfId="0" applyNumberFormat="1" applyFont="1" applyFill="1" applyBorder="1" applyAlignment="1">
      <alignment vertical="center" wrapText="1"/>
    </xf>
    <xf numFmtId="2" fontId="14" fillId="0" borderId="8" xfId="4" applyNumberFormat="1" applyFont="1" applyBorder="1" applyAlignment="1">
      <alignment vertical="center" wrapText="1"/>
    </xf>
    <xf numFmtId="2" fontId="14" fillId="2" borderId="8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2" fontId="22" fillId="2" borderId="14" xfId="1" applyNumberFormat="1" applyFont="1" applyFill="1" applyBorder="1" applyAlignment="1">
      <alignment vertical="center"/>
    </xf>
    <xf numFmtId="2" fontId="37" fillId="0" borderId="1" xfId="0" applyNumberFormat="1" applyFont="1" applyBorder="1" applyAlignment="1">
      <alignment vertical="center" wrapText="1"/>
    </xf>
    <xf numFmtId="43" fontId="14" fillId="0" borderId="1" xfId="0" applyNumberFormat="1" applyFont="1" applyBorder="1" applyAlignment="1">
      <alignment vertical="top"/>
    </xf>
    <xf numFmtId="43" fontId="14" fillId="0" borderId="1" xfId="4" applyFont="1" applyFill="1" applyBorder="1" applyAlignment="1">
      <alignment vertical="top"/>
    </xf>
    <xf numFmtId="43" fontId="14" fillId="0" borderId="3" xfId="0" applyNumberFormat="1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3" fillId="0" borderId="6" xfId="0" applyFont="1" applyBorder="1" applyAlignment="1">
      <alignment horizontal="right" vertical="center"/>
    </xf>
    <xf numFmtId="0" fontId="23" fillId="4" borderId="1" xfId="0" applyFont="1" applyFill="1" applyBorder="1" applyAlignment="1">
      <alignment horizontal="right" vertical="center"/>
    </xf>
    <xf numFmtId="0" fontId="23" fillId="4" borderId="1" xfId="1" applyFont="1" applyFill="1" applyBorder="1" applyAlignment="1">
      <alignment horizontal="right" vertical="center" wrapText="1"/>
    </xf>
    <xf numFmtId="0" fontId="23" fillId="4" borderId="1" xfId="0" applyFont="1" applyFill="1" applyBorder="1" applyAlignment="1">
      <alignment horizontal="right" vertical="center" wrapText="1"/>
    </xf>
    <xf numFmtId="2" fontId="23" fillId="4" borderId="1" xfId="0" applyNumberFormat="1" applyFont="1" applyFill="1" applyBorder="1" applyAlignment="1">
      <alignment vertical="center" wrapText="1"/>
    </xf>
    <xf numFmtId="2" fontId="23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4" fillId="2" borderId="3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3" fontId="14" fillId="2" borderId="1" xfId="4" applyFont="1" applyFill="1" applyBorder="1" applyAlignment="1">
      <alignment vertical="center" shrinkToFit="1"/>
    </xf>
    <xf numFmtId="43" fontId="14" fillId="2" borderId="3" xfId="0" applyNumberFormat="1" applyFont="1" applyFill="1" applyBorder="1" applyAlignment="1">
      <alignment horizontal="center" vertical="center"/>
    </xf>
    <xf numFmtId="43" fontId="14" fillId="2" borderId="1" xfId="4" applyFont="1" applyFill="1" applyBorder="1" applyAlignment="1">
      <alignment vertical="center" wrapText="1"/>
    </xf>
    <xf numFmtId="43" fontId="14" fillId="2" borderId="3" xfId="4" applyFont="1" applyFill="1" applyBorder="1" applyAlignment="1">
      <alignment vertical="center" wrapText="1"/>
    </xf>
    <xf numFmtId="2" fontId="22" fillId="2" borderId="15" xfId="1" applyNumberFormat="1" applyFont="1" applyFill="1" applyBorder="1" applyAlignment="1">
      <alignment vertical="center"/>
    </xf>
    <xf numFmtId="2" fontId="22" fillId="0" borderId="1" xfId="4" applyNumberFormat="1" applyFont="1" applyBorder="1" applyAlignment="1">
      <alignment vertical="center" wrapText="1"/>
    </xf>
    <xf numFmtId="0" fontId="22" fillId="2" borderId="1" xfId="1" applyFont="1" applyFill="1" applyBorder="1" applyAlignment="1">
      <alignment vertical="center" wrapText="1"/>
    </xf>
    <xf numFmtId="2" fontId="22" fillId="2" borderId="1" xfId="1" applyNumberFormat="1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0" fontId="23" fillId="4" borderId="1" xfId="1" applyFont="1" applyFill="1" applyBorder="1" applyAlignment="1">
      <alignment vertical="center" wrapText="1"/>
    </xf>
    <xf numFmtId="1" fontId="23" fillId="4" borderId="1" xfId="1" applyNumberFormat="1" applyFont="1" applyFill="1" applyBorder="1" applyAlignment="1">
      <alignment horizontal="center" vertical="center" wrapText="1"/>
    </xf>
    <xf numFmtId="2" fontId="23" fillId="4" borderId="1" xfId="1" applyNumberFormat="1" applyFont="1" applyFill="1" applyBorder="1" applyAlignment="1">
      <alignment vertical="center"/>
    </xf>
    <xf numFmtId="2" fontId="23" fillId="0" borderId="1" xfId="1" applyNumberFormat="1" applyFont="1" applyBorder="1" applyAlignment="1">
      <alignment vertical="top"/>
    </xf>
    <xf numFmtId="2" fontId="23" fillId="0" borderId="3" xfId="1" applyNumberFormat="1" applyFont="1" applyBorder="1" applyAlignment="1">
      <alignment vertical="top"/>
    </xf>
    <xf numFmtId="2" fontId="21" fillId="2" borderId="1" xfId="0" applyNumberFormat="1" applyFont="1" applyFill="1" applyBorder="1" applyAlignment="1">
      <alignment vertical="center" wrapText="1"/>
    </xf>
    <xf numFmtId="43" fontId="14" fillId="2" borderId="3" xfId="4" applyFont="1" applyFill="1" applyBorder="1" applyAlignment="1">
      <alignment vertical="center"/>
    </xf>
    <xf numFmtId="0" fontId="14" fillId="8" borderId="1" xfId="0" applyFont="1" applyFill="1" applyBorder="1" applyAlignment="1">
      <alignment horizontal="right" vertical="center"/>
    </xf>
    <xf numFmtId="0" fontId="14" fillId="8" borderId="3" xfId="0" applyFont="1" applyFill="1" applyBorder="1" applyAlignment="1">
      <alignment vertical="top" wrapText="1"/>
    </xf>
    <xf numFmtId="0" fontId="14" fillId="8" borderId="3" xfId="0" applyFont="1" applyFill="1" applyBorder="1" applyAlignment="1">
      <alignment horizontal="right" vertical="center"/>
    </xf>
    <xf numFmtId="0" fontId="14" fillId="8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vertical="top" wrapText="1"/>
    </xf>
    <xf numFmtId="2" fontId="14" fillId="2" borderId="3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vertical="top"/>
    </xf>
    <xf numFmtId="0" fontId="23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center" vertical="top" wrapText="1"/>
    </xf>
    <xf numFmtId="2" fontId="14" fillId="4" borderId="1" xfId="0" applyNumberFormat="1" applyFont="1" applyFill="1" applyBorder="1" applyAlignment="1">
      <alignment vertical="center" wrapText="1"/>
    </xf>
    <xf numFmtId="2" fontId="21" fillId="4" borderId="1" xfId="0" applyNumberFormat="1" applyFont="1" applyFill="1" applyBorder="1" applyAlignment="1">
      <alignment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top" wrapText="1"/>
    </xf>
    <xf numFmtId="2" fontId="21" fillId="7" borderId="1" xfId="0" applyNumberFormat="1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vertical="center"/>
    </xf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vertical="center"/>
    </xf>
    <xf numFmtId="2" fontId="5" fillId="7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2" fontId="3" fillId="2" borderId="0" xfId="8" applyNumberFormat="1" applyFont="1" applyFill="1" applyAlignment="1">
      <alignment vertical="center"/>
    </xf>
    <xf numFmtId="10" fontId="3" fillId="2" borderId="0" xfId="8" applyNumberFormat="1" applyFont="1" applyFill="1"/>
    <xf numFmtId="2" fontId="5" fillId="5" borderId="1" xfId="0" applyNumberFormat="1" applyFont="1" applyFill="1" applyBorder="1" applyAlignment="1">
      <alignment vertical="center"/>
    </xf>
    <xf numFmtId="0" fontId="43" fillId="4" borderId="2" xfId="0" applyFont="1" applyFill="1" applyBorder="1" applyAlignment="1">
      <alignment vertical="center"/>
    </xf>
    <xf numFmtId="2" fontId="43" fillId="4" borderId="1" xfId="0" applyNumberFormat="1" applyFont="1" applyFill="1" applyBorder="1" applyAlignment="1">
      <alignment vertical="center"/>
    </xf>
    <xf numFmtId="0" fontId="43" fillId="4" borderId="1" xfId="0" applyFont="1" applyFill="1" applyBorder="1" applyAlignment="1">
      <alignment vertical="center"/>
    </xf>
    <xf numFmtId="43" fontId="43" fillId="4" borderId="1" xfId="0" applyNumberFormat="1" applyFont="1" applyFill="1" applyBorder="1" applyAlignment="1">
      <alignment vertical="center"/>
    </xf>
    <xf numFmtId="2" fontId="18" fillId="4" borderId="1" xfId="0" applyNumberFormat="1" applyFont="1" applyFill="1" applyBorder="1" applyAlignment="1">
      <alignment horizontal="center" vertical="center" wrapText="1"/>
    </xf>
    <xf numFmtId="43" fontId="43" fillId="7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22" fillId="0" borderId="1" xfId="7" applyFont="1" applyBorder="1" applyAlignment="1">
      <alignment horizontal="center" vertical="top"/>
    </xf>
    <xf numFmtId="0" fontId="23" fillId="0" borderId="1" xfId="7" applyFont="1" applyBorder="1" applyAlignment="1">
      <alignment horizontal="center"/>
    </xf>
    <xf numFmtId="0" fontId="23" fillId="0" borderId="1" xfId="7" applyFont="1" applyBorder="1" applyAlignment="1">
      <alignment horizontal="right"/>
    </xf>
    <xf numFmtId="0" fontId="18" fillId="2" borderId="0" xfId="3" applyFont="1" applyFill="1"/>
    <xf numFmtId="0" fontId="19" fillId="2" borderId="0" xfId="3" applyFont="1" applyFill="1"/>
    <xf numFmtId="0" fontId="19" fillId="0" borderId="0" xfId="3" applyFont="1"/>
    <xf numFmtId="0" fontId="18" fillId="2" borderId="0" xfId="3" applyFont="1" applyFill="1" applyAlignment="1">
      <alignment horizontal="center" vertical="top"/>
    </xf>
    <xf numFmtId="0" fontId="19" fillId="0" borderId="0" xfId="3" applyFont="1" applyAlignment="1">
      <alignment horizontal="center" vertical="center"/>
    </xf>
    <xf numFmtId="0" fontId="14" fillId="2" borderId="0" xfId="3" applyFont="1" applyFill="1"/>
    <xf numFmtId="0" fontId="14" fillId="0" borderId="0" xfId="3" applyFont="1"/>
    <xf numFmtId="0" fontId="21" fillId="2" borderId="0" xfId="3" applyFont="1" applyFill="1" applyAlignment="1">
      <alignment horizontal="center" vertical="top"/>
    </xf>
    <xf numFmtId="0" fontId="14" fillId="2" borderId="0" xfId="3" applyFont="1" applyFill="1" applyAlignment="1">
      <alignment horizontal="center"/>
    </xf>
    <xf numFmtId="0" fontId="21" fillId="2" borderId="0" xfId="3" applyFont="1" applyFill="1"/>
    <xf numFmtId="2" fontId="23" fillId="9" borderId="1" xfId="4" applyNumberFormat="1" applyFont="1" applyFill="1" applyBorder="1" applyAlignment="1">
      <alignment horizontal="right"/>
    </xf>
    <xf numFmtId="2" fontId="23" fillId="9" borderId="1" xfId="7" applyNumberFormat="1" applyFont="1" applyFill="1" applyBorder="1" applyAlignment="1">
      <alignment horizontal="right"/>
    </xf>
    <xf numFmtId="2" fontId="23" fillId="9" borderId="1" xfId="7" applyNumberFormat="1" applyFont="1" applyFill="1" applyBorder="1" applyAlignment="1">
      <alignment horizontal="center"/>
    </xf>
    <xf numFmtId="0" fontId="22" fillId="9" borderId="1" xfId="7" applyFont="1" applyFill="1" applyBorder="1" applyAlignment="1">
      <alignment horizontal="right"/>
    </xf>
    <xf numFmtId="0" fontId="10" fillId="9" borderId="0" xfId="7" applyFill="1"/>
    <xf numFmtId="0" fontId="23" fillId="9" borderId="1" xfId="7" applyFont="1" applyFill="1" applyBorder="1" applyAlignment="1">
      <alignment horizontal="right"/>
    </xf>
    <xf numFmtId="0" fontId="23" fillId="9" borderId="1" xfId="7" applyFont="1" applyFill="1" applyBorder="1" applyAlignment="1">
      <alignment horizontal="center"/>
    </xf>
    <xf numFmtId="2" fontId="22" fillId="0" borderId="1" xfId="7" applyNumberFormat="1" applyFont="1" applyBorder="1" applyAlignment="1">
      <alignment horizontal="right"/>
    </xf>
    <xf numFmtId="2" fontId="22" fillId="9" borderId="1" xfId="7" applyNumberFormat="1" applyFont="1" applyFill="1" applyBorder="1" applyAlignment="1">
      <alignment horizontal="right"/>
    </xf>
    <xf numFmtId="2" fontId="22" fillId="9" borderId="1" xfId="7" applyNumberFormat="1" applyFont="1" applyFill="1" applyBorder="1" applyAlignment="1">
      <alignment horizontal="right" vertical="center"/>
    </xf>
    <xf numFmtId="2" fontId="22" fillId="9" borderId="1" xfId="7" applyNumberFormat="1" applyFont="1" applyFill="1" applyBorder="1" applyAlignment="1">
      <alignment horizontal="center" vertical="center"/>
    </xf>
    <xf numFmtId="0" fontId="31" fillId="0" borderId="1" xfId="7" applyFont="1" applyBorder="1"/>
    <xf numFmtId="0" fontId="23" fillId="0" borderId="1" xfId="7" applyFont="1" applyBorder="1" applyAlignment="1">
      <alignment horizontal="center"/>
    </xf>
    <xf numFmtId="0" fontId="23" fillId="9" borderId="1" xfId="7" applyFont="1" applyFill="1" applyBorder="1" applyAlignment="1">
      <alignment horizontal="right"/>
    </xf>
    <xf numFmtId="0" fontId="29" fillId="0" borderId="3" xfId="15" applyFont="1" applyBorder="1" applyAlignment="1">
      <alignment horizontal="center"/>
    </xf>
    <xf numFmtId="0" fontId="29" fillId="0" borderId="4" xfId="15" applyFont="1" applyBorder="1" applyAlignment="1">
      <alignment horizontal="center"/>
    </xf>
    <xf numFmtId="0" fontId="29" fillId="0" borderId="2" xfId="15" applyFont="1" applyBorder="1" applyAlignment="1">
      <alignment horizontal="center"/>
    </xf>
    <xf numFmtId="0" fontId="23" fillId="0" borderId="1" xfId="7" applyFont="1" applyBorder="1" applyAlignment="1">
      <alignment horizontal="right" wrapText="1"/>
    </xf>
    <xf numFmtId="0" fontId="16" fillId="0" borderId="0" xfId="3" applyFont="1" applyAlignment="1">
      <alignment horizontal="center" vertical="center"/>
    </xf>
    <xf numFmtId="0" fontId="22" fillId="0" borderId="1" xfId="7" applyFont="1" applyBorder="1" applyAlignment="1">
      <alignment horizontal="center"/>
    </xf>
    <xf numFmtId="0" fontId="22" fillId="0" borderId="1" xfId="7" applyFont="1" applyBorder="1" applyAlignment="1">
      <alignment horizontal="center" vertical="top"/>
    </xf>
    <xf numFmtId="0" fontId="18" fillId="2" borderId="0" xfId="0" applyFont="1" applyFill="1"/>
    <xf numFmtId="0" fontId="19" fillId="2" borderId="0" xfId="0" applyFont="1" applyFill="1"/>
    <xf numFmtId="0" fontId="14" fillId="2" borderId="0" xfId="0" applyFont="1" applyFill="1" applyAlignment="1">
      <alignment horizontal="center" wrapText="1"/>
    </xf>
    <xf numFmtId="0" fontId="21" fillId="2" borderId="1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right" vertical="center"/>
    </xf>
    <xf numFmtId="0" fontId="34" fillId="4" borderId="4" xfId="0" applyFont="1" applyFill="1" applyBorder="1" applyAlignment="1">
      <alignment horizontal="right" vertical="center"/>
    </xf>
    <xf numFmtId="0" fontId="34" fillId="4" borderId="2" xfId="0" applyFont="1" applyFill="1" applyBorder="1" applyAlignment="1">
      <alignment horizontal="right" vertical="center"/>
    </xf>
    <xf numFmtId="0" fontId="21" fillId="2" borderId="0" xfId="0" applyFont="1" applyFill="1"/>
    <xf numFmtId="0" fontId="33" fillId="2" borderId="0" xfId="0" applyFont="1" applyFill="1"/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right" vertical="center"/>
    </xf>
    <xf numFmtId="0" fontId="22" fillId="2" borderId="5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14" fillId="2" borderId="0" xfId="0" applyFont="1" applyFill="1"/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1" fillId="7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right" vertical="center"/>
    </xf>
    <xf numFmtId="0" fontId="43" fillId="4" borderId="3" xfId="0" applyFont="1" applyFill="1" applyBorder="1" applyAlignment="1">
      <alignment horizontal="right" vertical="center"/>
    </xf>
    <xf numFmtId="0" fontId="43" fillId="4" borderId="4" xfId="0" applyFont="1" applyFill="1" applyBorder="1" applyAlignment="1">
      <alignment horizontal="right" vertical="center"/>
    </xf>
    <xf numFmtId="0" fontId="43" fillId="4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 wrapText="1"/>
    </xf>
    <xf numFmtId="2" fontId="0" fillId="0" borderId="8" xfId="0" applyNumberFormat="1" applyBorder="1" applyAlignment="1">
      <alignment horizontal="right" vertical="center" wrapText="1"/>
    </xf>
    <xf numFmtId="2" fontId="0" fillId="0" borderId="6" xfId="0" applyNumberFormat="1" applyBorder="1" applyAlignment="1">
      <alignment horizontal="right" vertical="center" wrapText="1"/>
    </xf>
    <xf numFmtId="10" fontId="0" fillId="0" borderId="5" xfId="0" applyNumberFormat="1" applyBorder="1" applyAlignment="1">
      <alignment horizontal="right" vertical="center" wrapText="1"/>
    </xf>
    <xf numFmtId="10" fontId="0" fillId="0" borderId="8" xfId="0" applyNumberFormat="1" applyBorder="1" applyAlignment="1">
      <alignment horizontal="right" vertical="center" wrapText="1"/>
    </xf>
    <xf numFmtId="10" fontId="0" fillId="0" borderId="6" xfId="0" applyNumberForma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18">
    <cellStyle name="Comma 2" xfId="2" xr:uid="{00000000-0005-0000-0000-000001000000}"/>
    <cellStyle name="Comma 2 4" xfId="10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1" xr:uid="{00000000-0005-0000-0000-000006000000}"/>
    <cellStyle name="Normal 2 2" xfId="9" xr:uid="{00000000-0005-0000-0000-000007000000}"/>
    <cellStyle name="Normal 3" xfId="3" xr:uid="{00000000-0005-0000-0000-000008000000}"/>
    <cellStyle name="Normal 4" xfId="6" xr:uid="{00000000-0005-0000-0000-000009000000}"/>
    <cellStyle name="Normal 4 2" xfId="16" xr:uid="{61ECFE32-FD84-4B94-8042-5FF6B371D81D}"/>
    <cellStyle name="Normal 5" xfId="7" xr:uid="{00000000-0005-0000-0000-00000A000000}"/>
    <cellStyle name="Normal_DT_1_2" xfId="17" xr:uid="{9D6EC7DD-183D-4871-BA7D-C12774FC6679}"/>
    <cellStyle name="Normal_DT_1_3" xfId="11" xr:uid="{8CEEC099-F614-4B0B-A52D-D09D0D66259A}"/>
    <cellStyle name="Normal_DT_2_1" xfId="12" xr:uid="{F0EAD1B7-24A5-4C6B-B472-A64C19AD6770}"/>
    <cellStyle name="Normal_DT_2_3" xfId="13" xr:uid="{B17CC191-D457-4B86-9180-DB6EBD3C8DEC}"/>
    <cellStyle name="Normal_DT_2_4" xfId="14" xr:uid="{B92B855D-1662-4713-AAFC-C66043FA48F8}"/>
    <cellStyle name="Normal_DT_3_1" xfId="15" xr:uid="{749E2375-4B43-4219-A5E5-621B72CC6DE5}"/>
    <cellStyle name="Percent 2" xfId="8" xr:uid="{00000000-0005-0000-0000-00000F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6.11.20%20AWPB_R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WPB"/>
      <sheetName val="Detailed AWPB Com-1"/>
      <sheetName val="Detailed AWPB Com-2"/>
      <sheetName val="Detailed AWBCom-3 &amp; Total "/>
      <sheetName val="Sheet1"/>
    </sheetNames>
    <sheetDataSet>
      <sheetData sheetId="0"/>
      <sheetData sheetId="1">
        <row r="89">
          <cell r="Q89">
            <v>55030.111475750004</v>
          </cell>
          <cell r="S89">
            <v>11290.050000000001</v>
          </cell>
          <cell r="U89">
            <v>9846.7199999999993</v>
          </cell>
          <cell r="V89">
            <v>105</v>
          </cell>
          <cell r="W89">
            <v>1338.33</v>
          </cell>
          <cell r="X89">
            <v>3702.4070000000002</v>
          </cell>
          <cell r="Y89">
            <v>100.5</v>
          </cell>
          <cell r="Z89">
            <v>731.20600000000013</v>
          </cell>
          <cell r="AA89">
            <v>4534.1130000000003</v>
          </cell>
          <cell r="AC89">
            <v>3147.86</v>
          </cell>
          <cell r="AD89">
            <v>100.5</v>
          </cell>
          <cell r="AE89">
            <v>537.02200000000005</v>
          </cell>
          <cell r="AF89">
            <v>3785.3820000000001</v>
          </cell>
          <cell r="AI89">
            <v>388.53399999999999</v>
          </cell>
          <cell r="AJ89">
            <v>191.874</v>
          </cell>
          <cell r="AK89">
            <v>580.40800000000002</v>
          </cell>
        </row>
      </sheetData>
      <sheetData sheetId="2">
        <row r="78">
          <cell r="Q78">
            <v>8276.24</v>
          </cell>
          <cell r="S78">
            <v>1679.13</v>
          </cell>
          <cell r="U78">
            <v>1442.1100000000001</v>
          </cell>
          <cell r="V78">
            <v>31.11</v>
          </cell>
          <cell r="W78">
            <v>205.91000000000003</v>
          </cell>
          <cell r="X78">
            <v>0</v>
          </cell>
          <cell r="Y78">
            <v>90</v>
          </cell>
          <cell r="Z78">
            <v>0</v>
          </cell>
          <cell r="AA78">
            <v>90</v>
          </cell>
          <cell r="AC78">
            <v>0</v>
          </cell>
          <cell r="AD78">
            <v>90</v>
          </cell>
          <cell r="AE78">
            <v>0</v>
          </cell>
          <cell r="AF78">
            <v>90</v>
          </cell>
          <cell r="AI78">
            <v>0</v>
          </cell>
          <cell r="AJ78">
            <v>0</v>
          </cell>
          <cell r="AK78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F374-9B7D-4228-A264-2D6C5F8646C7}">
  <dimension ref="A1:U48"/>
  <sheetViews>
    <sheetView topLeftCell="D22" zoomScale="108" zoomScaleNormal="108" zoomScaleSheetLayoutView="108" zoomScalePageLayoutView="108" workbookViewId="0">
      <selection activeCell="H33" sqref="H33"/>
    </sheetView>
  </sheetViews>
  <sheetFormatPr defaultColWidth="12.28515625" defaultRowHeight="15.75"/>
  <cols>
    <col min="1" max="1" width="15.140625" style="65" customWidth="1"/>
    <col min="2" max="2" width="79" style="65" customWidth="1"/>
    <col min="3" max="3" width="40" style="65" customWidth="1"/>
    <col min="4" max="4" width="39.7109375" style="65" customWidth="1"/>
    <col min="5" max="5" width="10.5703125" style="65" customWidth="1"/>
    <col min="6" max="6" width="10.140625" style="65" customWidth="1"/>
    <col min="7" max="8" width="12.28515625" style="65"/>
    <col min="9" max="9" width="11.85546875" style="65" customWidth="1"/>
    <col min="10" max="10" width="6.5703125" style="65" customWidth="1"/>
    <col min="11" max="11" width="10.5703125" style="65" customWidth="1"/>
    <col min="12" max="12" width="6.5703125" style="65" customWidth="1"/>
    <col min="13" max="13" width="12.42578125" style="65" customWidth="1"/>
    <col min="14" max="14" width="10.5703125" style="65" customWidth="1"/>
    <col min="15" max="16" width="12.28515625" style="65"/>
    <col min="17" max="17" width="11.85546875" style="65" customWidth="1"/>
    <col min="18" max="18" width="6.85546875" style="65" customWidth="1"/>
    <col min="19" max="19" width="11.42578125" style="65" customWidth="1"/>
    <col min="20" max="20" width="7.28515625" style="65" customWidth="1"/>
    <col min="21" max="21" width="11.140625" style="65" customWidth="1"/>
    <col min="22" max="16384" width="12.28515625" style="65"/>
  </cols>
  <sheetData>
    <row r="1" spans="1:21" ht="39" customHeight="1">
      <c r="C1" s="66"/>
      <c r="E1" s="614" t="s">
        <v>69</v>
      </c>
      <c r="F1" s="614"/>
      <c r="G1" s="614"/>
      <c r="H1" s="67"/>
    </row>
    <row r="3" spans="1:21" ht="18">
      <c r="A3" s="586" t="s">
        <v>70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</row>
    <row r="4" spans="1:21" ht="18">
      <c r="A4" s="587" t="s">
        <v>71</v>
      </c>
      <c r="B4" s="587"/>
      <c r="C4" s="587"/>
      <c r="D4" s="587"/>
      <c r="E4" s="587"/>
      <c r="F4" s="587"/>
      <c r="G4" s="587"/>
      <c r="H4" s="588"/>
      <c r="I4" s="587"/>
      <c r="J4" s="589"/>
      <c r="K4" s="587"/>
      <c r="L4" s="587"/>
      <c r="M4" s="587"/>
      <c r="N4" s="587"/>
      <c r="O4" s="587"/>
      <c r="P4" s="590"/>
      <c r="Q4" s="587"/>
      <c r="R4" s="586"/>
      <c r="S4" s="587"/>
    </row>
    <row r="5" spans="1:21" ht="18">
      <c r="A5" s="587" t="s">
        <v>72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</row>
    <row r="6" spans="1:21" ht="18">
      <c r="A6" s="587" t="s">
        <v>73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</row>
    <row r="7" spans="1:21" ht="18.75">
      <c r="A7" s="587" t="s">
        <v>74</v>
      </c>
      <c r="B7" s="591"/>
      <c r="C7" s="591"/>
      <c r="D7" s="591"/>
      <c r="E7" s="591"/>
      <c r="F7" s="591"/>
      <c r="G7" s="591"/>
      <c r="H7" s="592"/>
      <c r="I7" s="591"/>
      <c r="J7" s="593"/>
      <c r="K7" s="591"/>
      <c r="L7" s="591"/>
      <c r="M7" s="594"/>
      <c r="N7" s="591"/>
      <c r="O7" s="591"/>
      <c r="P7" s="592"/>
      <c r="Q7" s="591"/>
      <c r="R7" s="595"/>
      <c r="S7" s="591"/>
    </row>
    <row r="8" spans="1:21" ht="7.5" customHeight="1"/>
    <row r="10" spans="1:21" ht="16.149999999999999" customHeight="1">
      <c r="A10" s="615"/>
      <c r="B10" s="616" t="s">
        <v>75</v>
      </c>
      <c r="C10" s="616" t="s">
        <v>76</v>
      </c>
      <c r="D10" s="616" t="s">
        <v>593</v>
      </c>
      <c r="E10" s="608" t="s">
        <v>77</v>
      </c>
      <c r="F10" s="608"/>
      <c r="G10" s="608"/>
      <c r="H10" s="608"/>
      <c r="I10" s="608"/>
      <c r="J10" s="608"/>
      <c r="K10" s="608"/>
      <c r="L10" s="608"/>
      <c r="M10" s="608" t="s">
        <v>78</v>
      </c>
      <c r="N10" s="608"/>
      <c r="O10" s="608"/>
      <c r="P10" s="608"/>
      <c r="Q10" s="608"/>
      <c r="R10" s="608"/>
      <c r="S10" s="608"/>
      <c r="T10" s="608"/>
      <c r="U10" s="78"/>
    </row>
    <row r="11" spans="1:21" ht="48" customHeight="1">
      <c r="A11" s="615"/>
      <c r="B11" s="616"/>
      <c r="C11" s="616"/>
      <c r="D11" s="616"/>
      <c r="E11" s="79" t="s">
        <v>79</v>
      </c>
      <c r="F11" s="79" t="s">
        <v>80</v>
      </c>
      <c r="G11" s="79" t="s">
        <v>81</v>
      </c>
      <c r="H11" s="583" t="s">
        <v>82</v>
      </c>
      <c r="I11" s="79" t="s">
        <v>83</v>
      </c>
      <c r="J11" s="80" t="s">
        <v>0</v>
      </c>
      <c r="K11" s="79" t="s">
        <v>84</v>
      </c>
      <c r="L11" s="79" t="s">
        <v>0</v>
      </c>
      <c r="M11" s="79" t="s">
        <v>79</v>
      </c>
      <c r="N11" s="79" t="s">
        <v>80</v>
      </c>
      <c r="O11" s="79" t="s">
        <v>81</v>
      </c>
      <c r="P11" s="79" t="s">
        <v>85</v>
      </c>
      <c r="Q11" s="79" t="s">
        <v>86</v>
      </c>
      <c r="R11" s="79" t="s">
        <v>0</v>
      </c>
      <c r="S11" s="79" t="s">
        <v>87</v>
      </c>
      <c r="T11" s="79" t="s">
        <v>0</v>
      </c>
      <c r="U11" s="79" t="s">
        <v>88</v>
      </c>
    </row>
    <row r="12" spans="1:21" ht="42.75">
      <c r="A12" s="81"/>
      <c r="B12" s="82" t="s">
        <v>89</v>
      </c>
      <c r="C12" s="83" t="s">
        <v>90</v>
      </c>
      <c r="D12" s="83" t="s">
        <v>91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spans="1:21" s="86" customFormat="1" ht="42.75">
      <c r="A13" s="84" t="s">
        <v>92</v>
      </c>
      <c r="B13" s="84" t="s">
        <v>93</v>
      </c>
      <c r="C13" s="85" t="s">
        <v>94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42.75">
      <c r="A14" s="81" t="s">
        <v>95</v>
      </c>
      <c r="B14" s="87" t="s">
        <v>96</v>
      </c>
      <c r="C14" s="83" t="s">
        <v>97</v>
      </c>
      <c r="D14" s="81"/>
      <c r="E14" s="88">
        <v>3</v>
      </c>
      <c r="F14" s="88"/>
      <c r="G14" s="89">
        <v>1.5</v>
      </c>
      <c r="H14" s="89" t="s">
        <v>98</v>
      </c>
      <c r="I14" s="89">
        <v>1.5</v>
      </c>
      <c r="J14" s="90">
        <v>50</v>
      </c>
      <c r="K14" s="89">
        <v>1.5</v>
      </c>
      <c r="L14" s="90">
        <v>50</v>
      </c>
      <c r="M14" s="91">
        <v>206.95</v>
      </c>
      <c r="N14" s="88"/>
      <c r="O14" s="92">
        <v>105</v>
      </c>
      <c r="P14" s="93" t="s">
        <v>99</v>
      </c>
      <c r="Q14" s="92">
        <v>100.5</v>
      </c>
      <c r="R14" s="90">
        <v>48.56</v>
      </c>
      <c r="S14" s="92">
        <v>100.5</v>
      </c>
      <c r="T14" s="90">
        <v>48.56</v>
      </c>
      <c r="U14" s="88"/>
    </row>
    <row r="15" spans="1:21" ht="42.75">
      <c r="A15" s="81" t="s">
        <v>100</v>
      </c>
      <c r="B15" s="94" t="s">
        <v>101</v>
      </c>
      <c r="C15" s="83" t="s">
        <v>102</v>
      </c>
      <c r="D15" s="85" t="s">
        <v>103</v>
      </c>
      <c r="E15" s="88">
        <v>381</v>
      </c>
      <c r="F15" s="88"/>
      <c r="G15" s="89">
        <v>94.16</v>
      </c>
      <c r="H15" s="89" t="s">
        <v>104</v>
      </c>
      <c r="I15" s="89">
        <v>21.63</v>
      </c>
      <c r="J15" s="90">
        <v>5.67</v>
      </c>
      <c r="K15" s="89">
        <v>7.26</v>
      </c>
      <c r="L15" s="90">
        <v>1.9</v>
      </c>
      <c r="M15" s="91">
        <v>39435.760000000002</v>
      </c>
      <c r="N15" s="88"/>
      <c r="O15" s="92">
        <v>8455.77</v>
      </c>
      <c r="P15" s="89" t="s">
        <v>105</v>
      </c>
      <c r="Q15" s="92">
        <v>3962.64</v>
      </c>
      <c r="R15" s="90">
        <v>10.050000000000001</v>
      </c>
      <c r="S15" s="92">
        <v>3241.21</v>
      </c>
      <c r="T15" s="90">
        <v>8.2200000000000006</v>
      </c>
      <c r="U15" s="88"/>
    </row>
    <row r="16" spans="1:21" ht="42.75">
      <c r="A16" s="81" t="s">
        <v>106</v>
      </c>
      <c r="B16" s="94" t="s">
        <v>107</v>
      </c>
      <c r="C16" s="95" t="s">
        <v>108</v>
      </c>
      <c r="D16" s="83" t="s">
        <v>109</v>
      </c>
      <c r="E16" s="88">
        <v>135</v>
      </c>
      <c r="F16" s="88"/>
      <c r="G16" s="89">
        <v>39</v>
      </c>
      <c r="H16" s="89" t="s">
        <v>98</v>
      </c>
      <c r="I16" s="89">
        <v>0</v>
      </c>
      <c r="J16" s="90">
        <v>0</v>
      </c>
      <c r="K16" s="89">
        <v>0</v>
      </c>
      <c r="L16" s="90">
        <v>0</v>
      </c>
      <c r="M16" s="91">
        <v>12331.4</v>
      </c>
      <c r="N16" s="88"/>
      <c r="O16" s="92">
        <v>2689.71</v>
      </c>
      <c r="P16" s="89" t="s">
        <v>105</v>
      </c>
      <c r="Q16" s="92">
        <v>452.38</v>
      </c>
      <c r="R16" s="90">
        <v>3.67</v>
      </c>
      <c r="S16" s="92">
        <v>425.07</v>
      </c>
      <c r="T16" s="90">
        <v>3.45</v>
      </c>
      <c r="U16" s="88"/>
    </row>
    <row r="17" spans="1:21" ht="28.5">
      <c r="A17" s="81" t="s">
        <v>110</v>
      </c>
      <c r="B17" s="96" t="s">
        <v>111</v>
      </c>
      <c r="C17" s="83" t="s">
        <v>112</v>
      </c>
      <c r="D17" s="81"/>
      <c r="E17" s="88" t="s">
        <v>113</v>
      </c>
      <c r="F17" s="88"/>
      <c r="G17" s="89">
        <v>0</v>
      </c>
      <c r="H17" s="89" t="s">
        <v>98</v>
      </c>
      <c r="I17" s="89">
        <v>0</v>
      </c>
      <c r="J17" s="90">
        <v>0</v>
      </c>
      <c r="K17" s="89">
        <v>0</v>
      </c>
      <c r="L17" s="90">
        <v>0</v>
      </c>
      <c r="M17" s="91">
        <v>2996</v>
      </c>
      <c r="N17" s="88"/>
      <c r="O17" s="92">
        <v>4.57</v>
      </c>
      <c r="P17" s="89" t="s">
        <v>105</v>
      </c>
      <c r="Q17" s="92">
        <v>18.600000000000001</v>
      </c>
      <c r="R17" s="90">
        <v>0.62</v>
      </c>
      <c r="S17" s="92">
        <v>18.600000000000001</v>
      </c>
      <c r="T17" s="90">
        <v>0.62</v>
      </c>
      <c r="U17" s="88"/>
    </row>
    <row r="18" spans="1:21" ht="28.5">
      <c r="A18" s="81" t="s">
        <v>114</v>
      </c>
      <c r="B18" s="97" t="s">
        <v>115</v>
      </c>
      <c r="C18" s="83" t="s">
        <v>116</v>
      </c>
      <c r="D18" s="81"/>
      <c r="E18" s="88">
        <v>6</v>
      </c>
      <c r="F18" s="88"/>
      <c r="G18" s="89">
        <v>2</v>
      </c>
      <c r="H18" s="89"/>
      <c r="I18" s="89">
        <v>0</v>
      </c>
      <c r="J18" s="90">
        <v>0</v>
      </c>
      <c r="K18" s="89">
        <v>0</v>
      </c>
      <c r="L18" s="90">
        <v>0</v>
      </c>
      <c r="M18" s="91">
        <v>60</v>
      </c>
      <c r="N18" s="88"/>
      <c r="O18" s="92">
        <v>35</v>
      </c>
      <c r="P18" s="80" t="s">
        <v>117</v>
      </c>
      <c r="Q18" s="92">
        <v>0</v>
      </c>
      <c r="R18" s="90">
        <v>0</v>
      </c>
      <c r="S18" s="92">
        <v>0</v>
      </c>
      <c r="T18" s="90">
        <v>0</v>
      </c>
      <c r="U18" s="88"/>
    </row>
    <row r="19" spans="1:21" s="600" customFormat="1">
      <c r="A19" s="609" t="s">
        <v>118</v>
      </c>
      <c r="B19" s="609"/>
      <c r="C19" s="609"/>
      <c r="D19" s="609"/>
      <c r="E19" s="609"/>
      <c r="F19" s="609"/>
      <c r="G19" s="609"/>
      <c r="H19" s="609"/>
      <c r="I19" s="609"/>
      <c r="J19" s="609"/>
      <c r="K19" s="609"/>
      <c r="L19" s="609"/>
      <c r="M19" s="596">
        <f>SUM(M14:M18)</f>
        <v>55030.11</v>
      </c>
      <c r="N19" s="597"/>
      <c r="O19" s="597">
        <f>SUM(O14:O18)</f>
        <v>11290.05</v>
      </c>
      <c r="P19" s="598"/>
      <c r="Q19" s="597">
        <f>SUM(Q14:Q18)</f>
        <v>4534.12</v>
      </c>
      <c r="R19" s="598">
        <v>8.24</v>
      </c>
      <c r="S19" s="597">
        <f>SUM(S14:S18)</f>
        <v>3785.38</v>
      </c>
      <c r="T19" s="598">
        <v>6.88</v>
      </c>
      <c r="U19" s="599"/>
    </row>
    <row r="20" spans="1:21" s="86" customFormat="1" ht="44.25">
      <c r="A20" s="115" t="s">
        <v>119</v>
      </c>
      <c r="B20" s="99" t="s">
        <v>120</v>
      </c>
      <c r="C20" s="100" t="s">
        <v>121</v>
      </c>
      <c r="D20" s="98"/>
      <c r="E20" s="101"/>
      <c r="F20" s="101"/>
      <c r="G20" s="101"/>
      <c r="H20" s="101"/>
      <c r="I20" s="101"/>
      <c r="J20" s="101"/>
      <c r="K20" s="101"/>
      <c r="L20" s="101"/>
      <c r="M20" s="102"/>
      <c r="N20" s="101"/>
      <c r="O20" s="102"/>
      <c r="P20" s="103"/>
      <c r="Q20" s="102"/>
      <c r="R20" s="104"/>
      <c r="S20" s="102"/>
      <c r="T20" s="104"/>
      <c r="U20" s="101"/>
    </row>
    <row r="21" spans="1:21" ht="85.5">
      <c r="A21" s="105" t="s">
        <v>122</v>
      </c>
      <c r="B21" s="106" t="s">
        <v>123</v>
      </c>
      <c r="C21" s="107" t="s">
        <v>124</v>
      </c>
      <c r="D21" s="83" t="s">
        <v>125</v>
      </c>
      <c r="E21" s="108">
        <v>15000</v>
      </c>
      <c r="F21" s="108"/>
      <c r="G21" s="89">
        <v>2000</v>
      </c>
      <c r="H21" s="89" t="s">
        <v>126</v>
      </c>
      <c r="I21" s="89">
        <v>0</v>
      </c>
      <c r="J21" s="92">
        <v>0</v>
      </c>
      <c r="K21" s="89">
        <v>0</v>
      </c>
      <c r="L21" s="92">
        <v>0</v>
      </c>
      <c r="M21" s="91">
        <v>1912</v>
      </c>
      <c r="N21" s="88"/>
      <c r="O21" s="92">
        <v>330.5</v>
      </c>
      <c r="P21" s="80" t="s">
        <v>117</v>
      </c>
      <c r="Q21" s="92">
        <v>0</v>
      </c>
      <c r="R21" s="90">
        <v>0</v>
      </c>
      <c r="S21" s="92">
        <v>0</v>
      </c>
      <c r="T21" s="90">
        <v>0</v>
      </c>
      <c r="U21" s="88"/>
    </row>
    <row r="22" spans="1:21" ht="42.75">
      <c r="A22" s="105" t="s">
        <v>127</v>
      </c>
      <c r="B22" s="109" t="s">
        <v>128</v>
      </c>
      <c r="C22" s="107" t="s">
        <v>129</v>
      </c>
      <c r="D22" s="107"/>
      <c r="E22" s="88">
        <v>30000</v>
      </c>
      <c r="F22" s="88"/>
      <c r="G22" s="89">
        <v>5000</v>
      </c>
      <c r="H22" s="89" t="s">
        <v>130</v>
      </c>
      <c r="I22" s="89">
        <v>0</v>
      </c>
      <c r="J22" s="92">
        <v>0</v>
      </c>
      <c r="K22" s="89">
        <v>0</v>
      </c>
      <c r="L22" s="92">
        <v>0</v>
      </c>
      <c r="M22" s="91">
        <v>3621</v>
      </c>
      <c r="N22" s="88"/>
      <c r="O22" s="92">
        <v>1023.69</v>
      </c>
      <c r="P22" s="80" t="s">
        <v>117</v>
      </c>
      <c r="Q22" s="92">
        <v>0</v>
      </c>
      <c r="R22" s="90">
        <v>0</v>
      </c>
      <c r="S22" s="92">
        <v>0</v>
      </c>
      <c r="T22" s="90">
        <v>0</v>
      </c>
      <c r="U22" s="88"/>
    </row>
    <row r="23" spans="1:21" ht="42.75">
      <c r="A23" s="105" t="s">
        <v>131</v>
      </c>
      <c r="B23" s="109" t="s">
        <v>132</v>
      </c>
      <c r="C23" s="83" t="s">
        <v>133</v>
      </c>
      <c r="D23" s="107" t="s">
        <v>134</v>
      </c>
      <c r="E23" s="88">
        <v>29</v>
      </c>
      <c r="F23" s="88"/>
      <c r="G23" s="89" t="s">
        <v>126</v>
      </c>
      <c r="H23" s="89" t="s">
        <v>126</v>
      </c>
      <c r="I23" s="89">
        <v>0</v>
      </c>
      <c r="J23" s="92">
        <v>0</v>
      </c>
      <c r="K23" s="89">
        <v>0</v>
      </c>
      <c r="L23" s="92">
        <v>0</v>
      </c>
      <c r="M23" s="91">
        <v>1894.6</v>
      </c>
      <c r="N23" s="88"/>
      <c r="O23" s="92">
        <v>204.38</v>
      </c>
      <c r="P23" s="80" t="s">
        <v>117</v>
      </c>
      <c r="Q23" s="92">
        <v>0</v>
      </c>
      <c r="R23" s="90">
        <v>0</v>
      </c>
      <c r="S23" s="92">
        <v>0</v>
      </c>
      <c r="T23" s="90">
        <v>0</v>
      </c>
      <c r="U23" s="88"/>
    </row>
    <row r="24" spans="1:21" ht="42.75">
      <c r="A24" s="105" t="s">
        <v>135</v>
      </c>
      <c r="B24" s="110" t="s">
        <v>136</v>
      </c>
      <c r="C24" s="107" t="s">
        <v>137</v>
      </c>
      <c r="D24" s="111" t="s">
        <v>594</v>
      </c>
      <c r="E24" s="88">
        <v>7</v>
      </c>
      <c r="F24" s="88"/>
      <c r="G24" s="89">
        <v>1</v>
      </c>
      <c r="H24" s="89" t="s">
        <v>98</v>
      </c>
      <c r="I24" s="89">
        <v>0</v>
      </c>
      <c r="J24" s="92">
        <v>0</v>
      </c>
      <c r="K24" s="89">
        <v>0</v>
      </c>
      <c r="L24" s="92">
        <v>0</v>
      </c>
      <c r="M24" s="91">
        <v>848.64</v>
      </c>
      <c r="N24" s="88"/>
      <c r="O24" s="92">
        <v>120.56</v>
      </c>
      <c r="P24" s="80" t="s">
        <v>138</v>
      </c>
      <c r="Q24" s="92">
        <v>90</v>
      </c>
      <c r="R24" s="90">
        <v>10.61</v>
      </c>
      <c r="S24" s="92">
        <v>90</v>
      </c>
      <c r="T24" s="90">
        <v>10.61</v>
      </c>
      <c r="U24" s="88"/>
    </row>
    <row r="25" spans="1:21" s="600" customFormat="1">
      <c r="A25" s="609" t="s">
        <v>139</v>
      </c>
      <c r="B25" s="609"/>
      <c r="C25" s="609"/>
      <c r="D25" s="609"/>
      <c r="E25" s="609"/>
      <c r="F25" s="609"/>
      <c r="G25" s="609"/>
      <c r="H25" s="609"/>
      <c r="I25" s="609"/>
      <c r="J25" s="609"/>
      <c r="K25" s="609"/>
      <c r="L25" s="609"/>
      <c r="M25" s="596">
        <f>SUM(M21:M24)</f>
        <v>8276.24</v>
      </c>
      <c r="N25" s="601"/>
      <c r="O25" s="597">
        <f>SUM(O21:O24)</f>
        <v>1679.13</v>
      </c>
      <c r="P25" s="602"/>
      <c r="Q25" s="597">
        <f>SUM(Q21:Q24)</f>
        <v>90</v>
      </c>
      <c r="R25" s="598">
        <v>1.0900000000000001</v>
      </c>
      <c r="S25" s="597">
        <f>SUM(S21:S24)</f>
        <v>90</v>
      </c>
      <c r="T25" s="598">
        <v>1.0900000000000001</v>
      </c>
      <c r="U25" s="599"/>
    </row>
    <row r="26" spans="1:21" s="86" customFormat="1" ht="18.75">
      <c r="A26" s="115" t="s">
        <v>140</v>
      </c>
      <c r="B26" s="116" t="s">
        <v>141</v>
      </c>
      <c r="C26" s="105" t="s">
        <v>142</v>
      </c>
      <c r="D26" s="98"/>
      <c r="E26" s="98"/>
      <c r="F26" s="98"/>
      <c r="G26" s="98"/>
      <c r="H26" s="98"/>
      <c r="I26" s="98"/>
      <c r="J26" s="98"/>
      <c r="K26" s="98"/>
      <c r="L26" s="98"/>
      <c r="M26" s="112"/>
      <c r="N26" s="585"/>
      <c r="O26" s="112"/>
      <c r="P26" s="584"/>
      <c r="Q26" s="112"/>
      <c r="R26" s="113"/>
      <c r="S26" s="112"/>
      <c r="T26" s="113"/>
      <c r="U26" s="585"/>
    </row>
    <row r="27" spans="1:21" ht="28.5">
      <c r="A27" s="105" t="s">
        <v>143</v>
      </c>
      <c r="B27" s="117" t="s">
        <v>144</v>
      </c>
      <c r="C27" s="83" t="s">
        <v>145</v>
      </c>
      <c r="D27" s="78"/>
      <c r="E27" s="88" t="s">
        <v>126</v>
      </c>
      <c r="F27" s="88"/>
      <c r="G27" s="89" t="s">
        <v>126</v>
      </c>
      <c r="H27" s="89" t="s">
        <v>126</v>
      </c>
      <c r="I27" s="88"/>
      <c r="J27" s="88"/>
      <c r="K27" s="88"/>
      <c r="L27" s="88"/>
      <c r="M27" s="603">
        <v>4895.75</v>
      </c>
      <c r="N27" s="88"/>
      <c r="O27" s="92">
        <v>762.05</v>
      </c>
      <c r="P27" s="80" t="s">
        <v>146</v>
      </c>
      <c r="Q27" s="92">
        <v>594.53</v>
      </c>
      <c r="R27" s="90">
        <v>12.14</v>
      </c>
      <c r="S27" s="92">
        <v>335.44</v>
      </c>
      <c r="T27" s="90">
        <v>6.85</v>
      </c>
      <c r="U27" s="114"/>
    </row>
    <row r="28" spans="1:21" s="600" customFormat="1">
      <c r="A28" s="609" t="s">
        <v>147</v>
      </c>
      <c r="B28" s="609"/>
      <c r="C28" s="609"/>
      <c r="D28" s="609"/>
      <c r="E28" s="609"/>
      <c r="F28" s="609"/>
      <c r="G28" s="609"/>
      <c r="H28" s="609"/>
      <c r="I28" s="609"/>
      <c r="J28" s="609"/>
      <c r="K28" s="609"/>
      <c r="L28" s="609"/>
      <c r="M28" s="604">
        <v>4895.75</v>
      </c>
      <c r="N28" s="601"/>
      <c r="O28" s="597">
        <v>762.05</v>
      </c>
      <c r="P28" s="602"/>
      <c r="Q28" s="605">
        <v>594.53</v>
      </c>
      <c r="R28" s="606">
        <v>12.14</v>
      </c>
      <c r="S28" s="605">
        <v>335.44</v>
      </c>
      <c r="T28" s="606">
        <v>6.85</v>
      </c>
      <c r="U28" s="599"/>
    </row>
    <row r="29" spans="1:21">
      <c r="A29" s="607"/>
      <c r="B29" s="610"/>
      <c r="C29" s="611"/>
      <c r="D29" s="611"/>
      <c r="E29" s="611"/>
      <c r="F29" s="611"/>
      <c r="G29" s="611"/>
      <c r="H29" s="612"/>
      <c r="I29" s="613" t="s">
        <v>148</v>
      </c>
      <c r="J29" s="613"/>
      <c r="K29" s="613"/>
      <c r="L29" s="613"/>
      <c r="M29" s="112">
        <f>M28+M25+M19</f>
        <v>68202.100000000006</v>
      </c>
      <c r="N29" s="114"/>
      <c r="O29" s="112">
        <f>O28+O25+O19</f>
        <v>13731.23</v>
      </c>
      <c r="P29" s="584"/>
      <c r="Q29" s="112">
        <f>Q28+Q25+Q19</f>
        <v>5218.6499999999996</v>
      </c>
      <c r="R29" s="113">
        <v>7.65</v>
      </c>
      <c r="S29" s="112">
        <f>S28+S25+S19</f>
        <v>4210.82</v>
      </c>
      <c r="T29" s="113">
        <v>6.17</v>
      </c>
      <c r="U29" s="114"/>
    </row>
    <row r="30" spans="1:21">
      <c r="B30" s="118"/>
    </row>
    <row r="31" spans="1:21">
      <c r="B31" s="118"/>
    </row>
    <row r="32" spans="1:21">
      <c r="B32" s="118"/>
    </row>
    <row r="33" spans="2:2">
      <c r="B33" s="118"/>
    </row>
    <row r="34" spans="2:2">
      <c r="B34" s="118"/>
    </row>
    <row r="35" spans="2:2">
      <c r="B35" s="118"/>
    </row>
    <row r="36" spans="2:2">
      <c r="B36" s="118"/>
    </row>
    <row r="37" spans="2:2">
      <c r="B37" s="118"/>
    </row>
    <row r="38" spans="2:2">
      <c r="B38" s="118"/>
    </row>
    <row r="39" spans="2:2">
      <c r="B39" s="118"/>
    </row>
    <row r="40" spans="2:2">
      <c r="B40" s="118"/>
    </row>
    <row r="41" spans="2:2">
      <c r="B41" s="118"/>
    </row>
    <row r="42" spans="2:2">
      <c r="B42" s="118"/>
    </row>
    <row r="43" spans="2:2">
      <c r="B43" s="118"/>
    </row>
    <row r="44" spans="2:2">
      <c r="B44" s="118"/>
    </row>
    <row r="45" spans="2:2">
      <c r="B45" s="118"/>
    </row>
    <row r="46" spans="2:2">
      <c r="B46" s="118"/>
    </row>
    <row r="47" spans="2:2">
      <c r="B47" s="118"/>
    </row>
    <row r="48" spans="2:2">
      <c r="B48" s="118"/>
    </row>
  </sheetData>
  <mergeCells count="12">
    <mergeCell ref="E1:G1"/>
    <mergeCell ref="A10:A11"/>
    <mergeCell ref="B10:B11"/>
    <mergeCell ref="C10:C11"/>
    <mergeCell ref="D10:D11"/>
    <mergeCell ref="E10:L10"/>
    <mergeCell ref="M10:T10"/>
    <mergeCell ref="A19:L19"/>
    <mergeCell ref="A25:L25"/>
    <mergeCell ref="A28:L28"/>
    <mergeCell ref="B29:H29"/>
    <mergeCell ref="I29:L29"/>
  </mergeCells>
  <pageMargins left="0.7" right="0.7" top="1" bottom="0.75" header="0.3" footer="0.3"/>
  <pageSetup paperSize="5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40C7-C191-4C2A-8C77-7DF51F97D9A4}">
  <dimension ref="A1:BL93"/>
  <sheetViews>
    <sheetView view="pageBreakPreview" zoomScale="80" zoomScaleNormal="80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.28515625" defaultRowHeight="12.75"/>
  <cols>
    <col min="1" max="1" width="8" style="119" customWidth="1"/>
    <col min="2" max="2" width="57.5703125" style="119" customWidth="1"/>
    <col min="3" max="3" width="29.42578125" style="119" customWidth="1"/>
    <col min="4" max="4" width="12.85546875" style="119" customWidth="1"/>
    <col min="5" max="5" width="14.42578125" style="119" customWidth="1"/>
    <col min="6" max="6" width="10" style="119" customWidth="1"/>
    <col min="7" max="7" width="9" style="119" customWidth="1"/>
    <col min="8" max="8" width="8.28515625" style="119" customWidth="1"/>
    <col min="9" max="9" width="7.85546875" style="2" customWidth="1"/>
    <col min="10" max="10" width="9.140625" style="119" customWidth="1"/>
    <col min="11" max="11" width="9.7109375" style="285" customWidth="1"/>
    <col min="12" max="12" width="14.140625" style="119" customWidth="1"/>
    <col min="13" max="13" width="13.7109375" style="119" customWidth="1"/>
    <col min="14" max="14" width="7.42578125" style="286" customWidth="1"/>
    <col min="15" max="15" width="10.7109375" style="119" customWidth="1"/>
    <col min="16" max="16" width="7.5703125" style="119" customWidth="1"/>
    <col min="17" max="17" width="13.42578125" style="2" customWidth="1"/>
    <col min="18" max="18" width="9.140625" style="119" customWidth="1"/>
    <col min="19" max="19" width="10.85546875" style="289" customWidth="1"/>
    <col min="20" max="20" width="10.42578125" style="119" customWidth="1"/>
    <col min="21" max="21" width="10.7109375" style="119" customWidth="1"/>
    <col min="22" max="22" width="9.7109375" style="119" customWidth="1"/>
    <col min="23" max="23" width="10.5703125" style="119" customWidth="1"/>
    <col min="24" max="24" width="11.7109375" style="119" customWidth="1"/>
    <col min="25" max="25" width="10.85546875" style="119" bestFit="1" customWidth="1"/>
    <col min="26" max="26" width="9.85546875" style="119" bestFit="1" customWidth="1"/>
    <col min="27" max="27" width="10.140625" style="119" customWidth="1"/>
    <col min="28" max="28" width="7.85546875" style="119" customWidth="1"/>
    <col min="29" max="30" width="10.85546875" style="119" customWidth="1"/>
    <col min="31" max="31" width="8.7109375" style="119" customWidth="1"/>
    <col min="32" max="32" width="10.28515625" style="119" customWidth="1"/>
    <col min="33" max="33" width="7.28515625" style="119" customWidth="1"/>
    <col min="34" max="34" width="9.7109375" style="119" customWidth="1"/>
    <col min="35" max="35" width="8.5703125" style="119" hidden="1" customWidth="1"/>
    <col min="36" max="36" width="8.85546875" style="119" hidden="1" customWidth="1"/>
    <col min="37" max="37" width="10.140625" style="119" hidden="1" customWidth="1"/>
    <col min="38" max="38" width="3.42578125" style="119" hidden="1" customWidth="1"/>
    <col min="39" max="39" width="5.140625" style="119" hidden="1" customWidth="1"/>
    <col min="40" max="41" width="9.28515625" style="119"/>
    <col min="42" max="42" width="33.7109375" style="119" customWidth="1"/>
    <col min="43" max="16384" width="9.28515625" style="119"/>
  </cols>
  <sheetData>
    <row r="1" spans="1:64" ht="18">
      <c r="A1" s="617" t="s">
        <v>149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8"/>
      <c r="V1" s="68"/>
      <c r="W1" s="68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1:64" ht="18">
      <c r="A2" s="69"/>
      <c r="B2" s="69" t="s">
        <v>71</v>
      </c>
      <c r="C2" s="69"/>
      <c r="D2" s="69"/>
      <c r="E2" s="69"/>
      <c r="F2" s="69"/>
      <c r="G2" s="69"/>
      <c r="H2" s="69"/>
      <c r="I2" s="70"/>
      <c r="J2" s="69"/>
      <c r="K2" s="71"/>
      <c r="L2" s="69"/>
      <c r="M2" s="69"/>
      <c r="N2" s="69"/>
      <c r="O2" s="69"/>
      <c r="P2" s="69"/>
      <c r="Q2" s="72"/>
      <c r="R2" s="69"/>
      <c r="S2" s="68"/>
      <c r="T2" s="69"/>
      <c r="U2" s="69"/>
      <c r="V2" s="69"/>
      <c r="W2" s="69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64" ht="18">
      <c r="A3" s="69"/>
      <c r="B3" s="618" t="s">
        <v>72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9"/>
      <c r="V3" s="69"/>
      <c r="W3" s="69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64" ht="18">
      <c r="A4" s="69"/>
      <c r="B4" s="618" t="s">
        <v>73</v>
      </c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9"/>
      <c r="V4" s="69"/>
      <c r="W4" s="69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64" ht="18.75">
      <c r="A5" s="120"/>
      <c r="B5" s="121" t="s">
        <v>74</v>
      </c>
      <c r="C5" s="120"/>
      <c r="D5" s="120"/>
      <c r="E5" s="120"/>
      <c r="F5" s="120"/>
      <c r="G5" s="120"/>
      <c r="H5" s="120"/>
      <c r="I5" s="122"/>
      <c r="J5" s="120"/>
      <c r="K5" s="123"/>
      <c r="L5" s="120"/>
      <c r="M5" s="120"/>
      <c r="N5" s="124"/>
      <c r="O5" s="120"/>
      <c r="P5" s="120"/>
      <c r="Q5" s="122"/>
      <c r="R5" s="120"/>
      <c r="S5" s="125"/>
      <c r="T5" s="120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619" t="s">
        <v>150</v>
      </c>
      <c r="AJ5" s="619"/>
      <c r="AK5" s="619"/>
      <c r="AL5" s="126"/>
      <c r="AM5" s="126"/>
    </row>
    <row r="6" spans="1:64" s="129" customFormat="1" ht="25.5" customHeight="1">
      <c r="A6" s="620"/>
      <c r="B6" s="621" t="s">
        <v>151</v>
      </c>
      <c r="C6" s="621" t="s">
        <v>152</v>
      </c>
      <c r="D6" s="621" t="s">
        <v>153</v>
      </c>
      <c r="E6" s="621" t="s">
        <v>154</v>
      </c>
      <c r="F6" s="621" t="s">
        <v>155</v>
      </c>
      <c r="G6" s="621" t="s">
        <v>156</v>
      </c>
      <c r="H6" s="621" t="s">
        <v>592</v>
      </c>
      <c r="I6" s="624" t="s">
        <v>157</v>
      </c>
      <c r="J6" s="625"/>
      <c r="K6" s="625"/>
      <c r="L6" s="625"/>
      <c r="M6" s="625"/>
      <c r="N6" s="625"/>
      <c r="O6" s="625"/>
      <c r="P6" s="626"/>
      <c r="Q6" s="633" t="s">
        <v>78</v>
      </c>
      <c r="R6" s="634"/>
      <c r="S6" s="634"/>
      <c r="T6" s="634"/>
      <c r="U6" s="634"/>
      <c r="V6" s="634"/>
      <c r="W6" s="635"/>
      <c r="X6" s="633" t="s">
        <v>158</v>
      </c>
      <c r="Y6" s="634"/>
      <c r="Z6" s="634"/>
      <c r="AA6" s="634"/>
      <c r="AB6" s="634"/>
      <c r="AC6" s="634"/>
      <c r="AD6" s="634"/>
      <c r="AE6" s="634"/>
      <c r="AF6" s="634"/>
      <c r="AG6" s="634"/>
      <c r="AH6" s="636" t="s">
        <v>159</v>
      </c>
      <c r="AI6" s="127"/>
      <c r="AJ6" s="127"/>
      <c r="AK6" s="127"/>
      <c r="AL6" s="128"/>
      <c r="AM6" s="627" t="s">
        <v>159</v>
      </c>
    </row>
    <row r="7" spans="1:64" s="129" customFormat="1" ht="30" customHeight="1">
      <c r="A7" s="620"/>
      <c r="B7" s="622"/>
      <c r="C7" s="622"/>
      <c r="D7" s="622"/>
      <c r="E7" s="622"/>
      <c r="F7" s="622"/>
      <c r="G7" s="622"/>
      <c r="H7" s="622"/>
      <c r="I7" s="629" t="s">
        <v>160</v>
      </c>
      <c r="J7" s="621" t="s">
        <v>161</v>
      </c>
      <c r="K7" s="631" t="s">
        <v>162</v>
      </c>
      <c r="L7" s="621" t="s">
        <v>163</v>
      </c>
      <c r="M7" s="621" t="s">
        <v>164</v>
      </c>
      <c r="N7" s="627" t="s">
        <v>0</v>
      </c>
      <c r="O7" s="621" t="s">
        <v>165</v>
      </c>
      <c r="P7" s="627" t="s">
        <v>0</v>
      </c>
      <c r="Q7" s="629" t="s">
        <v>160</v>
      </c>
      <c r="R7" s="621" t="s">
        <v>161</v>
      </c>
      <c r="S7" s="631" t="s">
        <v>162</v>
      </c>
      <c r="T7" s="621" t="s">
        <v>166</v>
      </c>
      <c r="U7" s="625" t="s">
        <v>167</v>
      </c>
      <c r="V7" s="625"/>
      <c r="W7" s="626"/>
      <c r="X7" s="624" t="s">
        <v>168</v>
      </c>
      <c r="Y7" s="625"/>
      <c r="Z7" s="625"/>
      <c r="AA7" s="625"/>
      <c r="AB7" s="626"/>
      <c r="AC7" s="624" t="s">
        <v>169</v>
      </c>
      <c r="AD7" s="625"/>
      <c r="AE7" s="625"/>
      <c r="AF7" s="625"/>
      <c r="AG7" s="626"/>
      <c r="AH7" s="636"/>
      <c r="AI7" s="624" t="s">
        <v>170</v>
      </c>
      <c r="AJ7" s="625"/>
      <c r="AK7" s="625"/>
      <c r="AL7" s="626"/>
      <c r="AM7" s="628"/>
    </row>
    <row r="8" spans="1:64" s="129" customFormat="1" ht="81" customHeight="1">
      <c r="A8" s="620"/>
      <c r="B8" s="623"/>
      <c r="C8" s="623"/>
      <c r="D8" s="623"/>
      <c r="E8" s="623"/>
      <c r="F8" s="623"/>
      <c r="G8" s="623"/>
      <c r="H8" s="623"/>
      <c r="I8" s="630"/>
      <c r="J8" s="623"/>
      <c r="K8" s="632"/>
      <c r="L8" s="623"/>
      <c r="M8" s="623"/>
      <c r="N8" s="628"/>
      <c r="O8" s="623"/>
      <c r="P8" s="628"/>
      <c r="Q8" s="630"/>
      <c r="R8" s="623"/>
      <c r="S8" s="632"/>
      <c r="T8" s="623"/>
      <c r="U8" s="130" t="s">
        <v>3</v>
      </c>
      <c r="V8" s="130" t="s">
        <v>4</v>
      </c>
      <c r="W8" s="130" t="s">
        <v>1</v>
      </c>
      <c r="X8" s="131" t="s">
        <v>171</v>
      </c>
      <c r="Y8" s="130" t="s">
        <v>4</v>
      </c>
      <c r="Z8" s="131" t="s">
        <v>1</v>
      </c>
      <c r="AA8" s="131" t="s">
        <v>2</v>
      </c>
      <c r="AB8" s="131" t="s">
        <v>0</v>
      </c>
      <c r="AC8" s="131" t="s">
        <v>172</v>
      </c>
      <c r="AD8" s="130" t="s">
        <v>4</v>
      </c>
      <c r="AE8" s="131" t="s">
        <v>1</v>
      </c>
      <c r="AF8" s="131" t="s">
        <v>2</v>
      </c>
      <c r="AG8" s="131" t="s">
        <v>0</v>
      </c>
      <c r="AH8" s="131"/>
      <c r="AI8" s="131" t="s">
        <v>172</v>
      </c>
      <c r="AJ8" s="131" t="s">
        <v>1</v>
      </c>
      <c r="AK8" s="131" t="s">
        <v>2</v>
      </c>
      <c r="AL8" s="131" t="s">
        <v>0</v>
      </c>
      <c r="AM8" s="131"/>
    </row>
    <row r="9" spans="1:64" s="129" customFormat="1" ht="23.25" customHeight="1">
      <c r="A9" s="132"/>
      <c r="B9" s="130" t="s">
        <v>173</v>
      </c>
      <c r="C9" s="130" t="s">
        <v>174</v>
      </c>
      <c r="D9" s="130" t="s">
        <v>175</v>
      </c>
      <c r="E9" s="130" t="s">
        <v>176</v>
      </c>
      <c r="F9" s="130" t="s">
        <v>177</v>
      </c>
      <c r="G9" s="130" t="s">
        <v>178</v>
      </c>
      <c r="H9" s="130" t="s">
        <v>179</v>
      </c>
      <c r="I9" s="133" t="s">
        <v>180</v>
      </c>
      <c r="J9" s="130" t="s">
        <v>181</v>
      </c>
      <c r="K9" s="134" t="s">
        <v>182</v>
      </c>
      <c r="L9" s="130" t="s">
        <v>183</v>
      </c>
      <c r="M9" s="130" t="s">
        <v>184</v>
      </c>
      <c r="N9" s="135" t="s">
        <v>185</v>
      </c>
      <c r="O9" s="130" t="s">
        <v>186</v>
      </c>
      <c r="P9" s="135" t="s">
        <v>187</v>
      </c>
      <c r="Q9" s="133" t="s">
        <v>188</v>
      </c>
      <c r="R9" s="130" t="s">
        <v>189</v>
      </c>
      <c r="S9" s="134" t="s">
        <v>190</v>
      </c>
      <c r="T9" s="130" t="s">
        <v>191</v>
      </c>
      <c r="U9" s="131" t="s">
        <v>192</v>
      </c>
      <c r="V9" s="131" t="s">
        <v>193</v>
      </c>
      <c r="W9" s="131" t="s">
        <v>194</v>
      </c>
      <c r="X9" s="131" t="s">
        <v>195</v>
      </c>
      <c r="Y9" s="131" t="s">
        <v>196</v>
      </c>
      <c r="Z9" s="131" t="s">
        <v>197</v>
      </c>
      <c r="AA9" s="131" t="s">
        <v>198</v>
      </c>
      <c r="AB9" s="131" t="s">
        <v>199</v>
      </c>
      <c r="AC9" s="131" t="s">
        <v>200</v>
      </c>
      <c r="AD9" s="131" t="s">
        <v>201</v>
      </c>
      <c r="AE9" s="131" t="s">
        <v>202</v>
      </c>
      <c r="AF9" s="131" t="s">
        <v>203</v>
      </c>
      <c r="AG9" s="131" t="s">
        <v>204</v>
      </c>
      <c r="AH9" s="131" t="s">
        <v>205</v>
      </c>
      <c r="AI9" s="624" t="s">
        <v>195</v>
      </c>
      <c r="AJ9" s="625"/>
      <c r="AK9" s="625"/>
      <c r="AL9" s="626"/>
      <c r="AM9" s="131" t="s">
        <v>196</v>
      </c>
    </row>
    <row r="10" spans="1:64" s="129" customFormat="1" ht="34.5" customHeight="1">
      <c r="A10" s="136" t="s">
        <v>206</v>
      </c>
      <c r="B10" s="137" t="s">
        <v>207</v>
      </c>
      <c r="C10" s="138"/>
      <c r="D10" s="138"/>
      <c r="E10" s="138"/>
      <c r="F10" s="138"/>
      <c r="G10" s="138"/>
      <c r="H10" s="138"/>
      <c r="I10" s="139"/>
      <c r="J10" s="138"/>
      <c r="K10" s="140"/>
      <c r="L10" s="138"/>
      <c r="M10" s="138"/>
      <c r="N10" s="138"/>
      <c r="O10" s="138"/>
      <c r="P10" s="138"/>
      <c r="Q10" s="139"/>
      <c r="R10" s="138"/>
      <c r="S10" s="141"/>
      <c r="T10" s="142"/>
      <c r="U10" s="143"/>
      <c r="V10" s="144"/>
      <c r="W10" s="143"/>
      <c r="X10" s="144"/>
      <c r="Y10" s="144"/>
      <c r="Z10" s="144"/>
      <c r="AA10" s="144"/>
      <c r="AB10" s="138"/>
      <c r="AC10" s="144"/>
      <c r="AD10" s="144"/>
      <c r="AE10" s="144"/>
      <c r="AF10" s="144"/>
      <c r="AG10" s="138"/>
      <c r="AH10" s="138"/>
      <c r="AI10" s="138"/>
      <c r="AJ10" s="138"/>
      <c r="AK10" s="138"/>
      <c r="AL10" s="138"/>
      <c r="AM10" s="138"/>
    </row>
    <row r="11" spans="1:64" s="129" customFormat="1" ht="66" customHeight="1">
      <c r="A11" s="145" t="s">
        <v>208</v>
      </c>
      <c r="B11" s="146" t="s">
        <v>209</v>
      </c>
      <c r="C11" s="147" t="s">
        <v>210</v>
      </c>
      <c r="D11" s="148"/>
      <c r="E11" s="138"/>
      <c r="F11" s="138"/>
      <c r="G11" s="138"/>
      <c r="H11" s="138" t="s">
        <v>211</v>
      </c>
      <c r="I11" s="139"/>
      <c r="J11" s="138"/>
      <c r="K11" s="140"/>
      <c r="L11" s="138"/>
      <c r="M11" s="138"/>
      <c r="N11" s="138"/>
      <c r="O11" s="138"/>
      <c r="P11" s="138"/>
      <c r="Q11" s="139"/>
      <c r="R11" s="138"/>
      <c r="S11" s="149"/>
      <c r="T11" s="142"/>
      <c r="U11" s="143"/>
      <c r="V11" s="144"/>
      <c r="W11" s="143"/>
      <c r="X11" s="144"/>
      <c r="Y11" s="144"/>
      <c r="Z11" s="144"/>
      <c r="AA11" s="144"/>
      <c r="AB11" s="138"/>
      <c r="AC11" s="144"/>
      <c r="AD11" s="144"/>
      <c r="AE11" s="144"/>
      <c r="AF11" s="144"/>
      <c r="AG11" s="138"/>
      <c r="AH11" s="138"/>
      <c r="AI11" s="138"/>
      <c r="AJ11" s="138"/>
      <c r="AK11" s="138"/>
      <c r="AL11" s="138"/>
      <c r="AM11" s="138"/>
    </row>
    <row r="12" spans="1:64" s="129" customFormat="1" ht="15">
      <c r="A12" s="142"/>
      <c r="B12" s="146" t="s">
        <v>212</v>
      </c>
      <c r="C12" s="138"/>
      <c r="D12" s="138"/>
      <c r="E12" s="138"/>
      <c r="F12" s="138"/>
      <c r="G12" s="138"/>
      <c r="H12" s="138"/>
      <c r="I12" s="139"/>
      <c r="J12" s="138"/>
      <c r="K12" s="140"/>
      <c r="L12" s="138"/>
      <c r="M12" s="138"/>
      <c r="N12" s="138"/>
      <c r="O12" s="138"/>
      <c r="P12" s="138"/>
      <c r="Q12" s="139"/>
      <c r="R12" s="138"/>
      <c r="S12" s="141"/>
      <c r="T12" s="150"/>
      <c r="U12" s="143"/>
      <c r="V12" s="144"/>
      <c r="W12" s="143"/>
      <c r="X12" s="144"/>
      <c r="Y12" s="144"/>
      <c r="Z12" s="144"/>
      <c r="AA12" s="144"/>
      <c r="AB12" s="138"/>
      <c r="AC12" s="144"/>
      <c r="AD12" s="144"/>
      <c r="AE12" s="144"/>
      <c r="AF12" s="144"/>
      <c r="AG12" s="138"/>
      <c r="AH12" s="138"/>
      <c r="AI12" s="138"/>
      <c r="AJ12" s="138"/>
      <c r="AK12" s="138"/>
      <c r="AL12" s="138"/>
      <c r="AM12" s="138"/>
    </row>
    <row r="13" spans="1:64" s="129" customFormat="1" ht="38.25">
      <c r="A13" s="151"/>
      <c r="B13" s="152" t="s">
        <v>213</v>
      </c>
      <c r="C13" s="138"/>
      <c r="D13" s="138"/>
      <c r="E13" s="138" t="s">
        <v>214</v>
      </c>
      <c r="F13" s="138" t="s">
        <v>215</v>
      </c>
      <c r="G13" s="138"/>
      <c r="H13" s="138" t="s">
        <v>216</v>
      </c>
      <c r="I13" s="139">
        <v>3</v>
      </c>
      <c r="J13" s="138"/>
      <c r="K13" s="140">
        <v>1.5</v>
      </c>
      <c r="L13" s="138"/>
      <c r="M13" s="138">
        <v>1.5</v>
      </c>
      <c r="N13" s="138">
        <v>50</v>
      </c>
      <c r="O13" s="138">
        <v>1.5</v>
      </c>
      <c r="P13" s="138">
        <v>50</v>
      </c>
      <c r="Q13" s="153">
        <v>30.53</v>
      </c>
      <c r="R13" s="138"/>
      <c r="S13" s="141">
        <v>15.53</v>
      </c>
      <c r="T13" s="142" t="s">
        <v>217</v>
      </c>
      <c r="U13" s="154">
        <v>0</v>
      </c>
      <c r="V13" s="155">
        <v>15.53</v>
      </c>
      <c r="W13" s="154">
        <v>0</v>
      </c>
      <c r="X13" s="155">
        <v>0</v>
      </c>
      <c r="Y13" s="155">
        <v>15</v>
      </c>
      <c r="Z13" s="155">
        <v>0</v>
      </c>
      <c r="AA13" s="155">
        <v>15</v>
      </c>
      <c r="AB13" s="156">
        <f>AA13*100/Q13</f>
        <v>49.132001310186702</v>
      </c>
      <c r="AC13" s="155">
        <v>0</v>
      </c>
      <c r="AD13" s="155">
        <v>15</v>
      </c>
      <c r="AE13" s="155">
        <v>0</v>
      </c>
      <c r="AF13" s="155">
        <f>SUM(AC13:AE13)</f>
        <v>15</v>
      </c>
      <c r="AG13" s="156">
        <f>AF13*100/Q13</f>
        <v>49.132001310186702</v>
      </c>
      <c r="AH13" s="138"/>
      <c r="AI13" s="138"/>
      <c r="AJ13" s="138"/>
      <c r="AK13" s="138"/>
      <c r="AL13" s="138"/>
      <c r="AM13" s="138"/>
    </row>
    <row r="14" spans="1:64" s="162" customFormat="1" ht="30">
      <c r="A14" s="157"/>
      <c r="B14" s="146" t="s">
        <v>218</v>
      </c>
      <c r="C14" s="138"/>
      <c r="D14" s="138"/>
      <c r="E14" s="138"/>
      <c r="F14" s="138"/>
      <c r="G14" s="138"/>
      <c r="H14" s="138"/>
      <c r="I14" s="158"/>
      <c r="J14" s="132"/>
      <c r="K14" s="140"/>
      <c r="L14" s="132"/>
      <c r="M14" s="132"/>
      <c r="N14" s="132"/>
      <c r="O14" s="132"/>
      <c r="P14" s="132"/>
      <c r="Q14" s="159">
        <v>30.528746062499998</v>
      </c>
      <c r="R14" s="132"/>
      <c r="S14" s="141">
        <f>S13</f>
        <v>15.53</v>
      </c>
      <c r="T14" s="142"/>
      <c r="U14" s="154">
        <v>0</v>
      </c>
      <c r="V14" s="160">
        <f>V13</f>
        <v>15.53</v>
      </c>
      <c r="W14" s="154">
        <v>0</v>
      </c>
      <c r="X14" s="160">
        <f>X13</f>
        <v>0</v>
      </c>
      <c r="Y14" s="160">
        <f>Y13</f>
        <v>15</v>
      </c>
      <c r="Z14" s="160">
        <v>0</v>
      </c>
      <c r="AA14" s="160">
        <v>15</v>
      </c>
      <c r="AB14" s="161">
        <f>AA14*100/Q14</f>
        <v>49.134019357661266</v>
      </c>
      <c r="AC14" s="160">
        <f>AC13</f>
        <v>0</v>
      </c>
      <c r="AD14" s="160">
        <f>AD13</f>
        <v>15</v>
      </c>
      <c r="AE14" s="160">
        <v>0</v>
      </c>
      <c r="AF14" s="160">
        <f>SUM(AC14:AE14)</f>
        <v>15</v>
      </c>
      <c r="AG14" s="156">
        <f t="shared" ref="AG14:AG77" si="0">AF14*100/Q14</f>
        <v>49.134019357661266</v>
      </c>
      <c r="AH14" s="132"/>
      <c r="AI14" s="132"/>
      <c r="AJ14" s="132"/>
      <c r="AK14" s="132"/>
      <c r="AL14" s="132"/>
      <c r="AM14" s="132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</row>
    <row r="15" spans="1:64" s="129" customFormat="1" ht="18" customHeight="1">
      <c r="A15" s="157"/>
      <c r="B15" s="146" t="s">
        <v>219</v>
      </c>
      <c r="C15" s="138"/>
      <c r="D15" s="138"/>
      <c r="E15" s="138"/>
      <c r="F15" s="138"/>
      <c r="G15" s="138"/>
      <c r="H15" s="138"/>
      <c r="I15" s="139"/>
      <c r="J15" s="138"/>
      <c r="K15" s="140"/>
      <c r="L15" s="138"/>
      <c r="M15" s="138"/>
      <c r="N15" s="138"/>
      <c r="O15" s="138"/>
      <c r="P15" s="138"/>
      <c r="Q15" s="163"/>
      <c r="R15" s="138"/>
      <c r="S15" s="141"/>
      <c r="T15" s="142"/>
      <c r="U15" s="154"/>
      <c r="V15" s="155"/>
      <c r="W15" s="154"/>
      <c r="X15" s="155"/>
      <c r="Y15" s="155"/>
      <c r="Z15" s="155"/>
      <c r="AA15" s="155"/>
      <c r="AB15" s="156"/>
      <c r="AC15" s="155"/>
      <c r="AD15" s="155"/>
      <c r="AE15" s="155"/>
      <c r="AF15" s="155"/>
      <c r="AG15" s="156"/>
      <c r="AH15" s="138"/>
      <c r="AI15" s="138"/>
      <c r="AJ15" s="138"/>
      <c r="AK15" s="138"/>
      <c r="AL15" s="138"/>
      <c r="AM15" s="138"/>
    </row>
    <row r="16" spans="1:64" s="129" customFormat="1" ht="25.5">
      <c r="A16" s="157"/>
      <c r="B16" s="152" t="s">
        <v>220</v>
      </c>
      <c r="C16" s="138"/>
      <c r="D16" s="138"/>
      <c r="E16" s="138" t="s">
        <v>214</v>
      </c>
      <c r="F16" s="138" t="s">
        <v>221</v>
      </c>
      <c r="G16" s="138"/>
      <c r="H16" s="138" t="s">
        <v>222</v>
      </c>
      <c r="I16" s="139" t="s">
        <v>126</v>
      </c>
      <c r="J16" s="138"/>
      <c r="K16" s="140"/>
      <c r="L16" s="138"/>
      <c r="N16" s="138">
        <v>51.64</v>
      </c>
      <c r="O16" s="138"/>
      <c r="P16" s="138">
        <v>51.64</v>
      </c>
      <c r="Q16" s="163">
        <v>11.52</v>
      </c>
      <c r="R16" s="138"/>
      <c r="S16" s="149">
        <v>5.57</v>
      </c>
      <c r="T16" s="142" t="s">
        <v>223</v>
      </c>
      <c r="U16" s="154">
        <v>0</v>
      </c>
      <c r="V16" s="155">
        <v>5.57</v>
      </c>
      <c r="W16" s="154">
        <v>0</v>
      </c>
      <c r="X16" s="155">
        <v>0</v>
      </c>
      <c r="Y16" s="155">
        <v>5.95</v>
      </c>
      <c r="Z16" s="155">
        <v>0</v>
      </c>
      <c r="AA16" s="155">
        <v>5.95</v>
      </c>
      <c r="AB16" s="156">
        <f>AA16*100/Q16</f>
        <v>51.649305555555557</v>
      </c>
      <c r="AC16" s="155">
        <v>0</v>
      </c>
      <c r="AD16" s="155">
        <v>5.95</v>
      </c>
      <c r="AE16" s="155">
        <v>0</v>
      </c>
      <c r="AF16" s="155">
        <f>SUM(AC16:AE16)</f>
        <v>5.95</v>
      </c>
      <c r="AG16" s="156">
        <f t="shared" si="0"/>
        <v>51.649305555555557</v>
      </c>
      <c r="AH16" s="138"/>
      <c r="AI16" s="138"/>
      <c r="AJ16" s="138"/>
      <c r="AK16" s="138"/>
      <c r="AL16" s="138"/>
      <c r="AM16" s="138"/>
    </row>
    <row r="17" spans="1:64" s="129" customFormat="1" ht="21" customHeight="1">
      <c r="A17" s="157"/>
      <c r="B17" s="146" t="s">
        <v>224</v>
      </c>
      <c r="C17" s="138"/>
      <c r="D17" s="138"/>
      <c r="E17" s="138"/>
      <c r="F17" s="138"/>
      <c r="G17" s="138"/>
      <c r="H17" s="138"/>
      <c r="I17" s="139"/>
      <c r="J17" s="138"/>
      <c r="K17" s="140"/>
      <c r="L17" s="164"/>
      <c r="M17" s="164"/>
      <c r="N17" s="164"/>
      <c r="O17" s="164"/>
      <c r="P17" s="164"/>
      <c r="Q17" s="165">
        <v>11.5227296875</v>
      </c>
      <c r="R17" s="165"/>
      <c r="S17" s="166">
        <f>S16</f>
        <v>5.57</v>
      </c>
      <c r="T17" s="167"/>
      <c r="U17" s="165">
        <f>U16</f>
        <v>0</v>
      </c>
      <c r="V17" s="165">
        <f>V16</f>
        <v>5.57</v>
      </c>
      <c r="W17" s="168">
        <v>0</v>
      </c>
      <c r="X17" s="165">
        <f>X16</f>
        <v>0</v>
      </c>
      <c r="Y17" s="165">
        <f>Y16</f>
        <v>5.95</v>
      </c>
      <c r="Z17" s="165">
        <v>0</v>
      </c>
      <c r="AA17" s="165">
        <f>AA16</f>
        <v>5.95</v>
      </c>
      <c r="AB17" s="165">
        <f>AA17*100/Q17</f>
        <v>51.637070046472004</v>
      </c>
      <c r="AC17" s="165">
        <f>AC16</f>
        <v>0</v>
      </c>
      <c r="AD17" s="165">
        <f>AD16</f>
        <v>5.95</v>
      </c>
      <c r="AE17" s="165">
        <v>0</v>
      </c>
      <c r="AF17" s="165">
        <f>AF16</f>
        <v>5.95</v>
      </c>
      <c r="AG17" s="165">
        <f t="shared" si="0"/>
        <v>51.637070046472004</v>
      </c>
      <c r="AH17" s="165"/>
      <c r="AI17" s="138"/>
      <c r="AJ17" s="138"/>
      <c r="AK17" s="138"/>
      <c r="AL17" s="138"/>
      <c r="AM17" s="138"/>
    </row>
    <row r="18" spans="1:64" s="129" customFormat="1" ht="29.45" customHeight="1">
      <c r="A18" s="157"/>
      <c r="B18" s="169" t="s">
        <v>225</v>
      </c>
      <c r="C18" s="138"/>
      <c r="D18" s="138"/>
      <c r="E18" s="138"/>
      <c r="F18" s="138"/>
      <c r="G18" s="138"/>
      <c r="H18" s="138"/>
      <c r="I18" s="139"/>
      <c r="J18" s="138"/>
      <c r="K18" s="140"/>
      <c r="L18" s="138"/>
      <c r="M18" s="138"/>
      <c r="N18" s="138"/>
      <c r="O18" s="138"/>
      <c r="P18" s="138"/>
      <c r="Q18" s="170"/>
      <c r="R18" s="138"/>
      <c r="S18" s="141"/>
      <c r="T18" s="142"/>
      <c r="U18" s="154"/>
      <c r="V18" s="171"/>
      <c r="W18" s="154"/>
      <c r="X18" s="155"/>
      <c r="Y18" s="155"/>
      <c r="Z18" s="155"/>
      <c r="AA18" s="155"/>
      <c r="AB18" s="156"/>
      <c r="AC18" s="155"/>
      <c r="AD18" s="155"/>
      <c r="AE18" s="155"/>
      <c r="AF18" s="155"/>
      <c r="AG18" s="156"/>
      <c r="AH18" s="138"/>
      <c r="AI18" s="138"/>
      <c r="AJ18" s="138"/>
      <c r="AK18" s="138"/>
      <c r="AL18" s="138"/>
      <c r="AM18" s="138"/>
    </row>
    <row r="19" spans="1:64" s="129" customFormat="1" ht="25.5">
      <c r="A19" s="157"/>
      <c r="B19" s="172" t="s">
        <v>226</v>
      </c>
      <c r="C19" s="138"/>
      <c r="D19" s="138"/>
      <c r="E19" s="138" t="s">
        <v>214</v>
      </c>
      <c r="F19" s="138" t="s">
        <v>227</v>
      </c>
      <c r="G19" s="138"/>
      <c r="H19" s="138" t="s">
        <v>228</v>
      </c>
      <c r="I19" s="139">
        <v>85</v>
      </c>
      <c r="J19" s="138"/>
      <c r="K19" s="140"/>
      <c r="L19" s="138"/>
      <c r="M19" s="138">
        <v>41</v>
      </c>
      <c r="N19" s="138">
        <v>48</v>
      </c>
      <c r="O19" s="138">
        <v>41</v>
      </c>
      <c r="P19" s="138">
        <v>48</v>
      </c>
      <c r="Q19" s="163">
        <v>158.43</v>
      </c>
      <c r="R19" s="138"/>
      <c r="S19" s="149">
        <v>80.430000000000007</v>
      </c>
      <c r="T19" s="142" t="s">
        <v>229</v>
      </c>
      <c r="U19" s="154">
        <v>0</v>
      </c>
      <c r="V19" s="155">
        <v>80.430000000000007</v>
      </c>
      <c r="W19" s="154">
        <v>0</v>
      </c>
      <c r="X19" s="155">
        <v>0</v>
      </c>
      <c r="Y19" s="155">
        <v>76.55</v>
      </c>
      <c r="Z19" s="155">
        <v>0</v>
      </c>
      <c r="AA19" s="155">
        <f>SUM(X19:Z19)</f>
        <v>76.55</v>
      </c>
      <c r="AB19" s="156">
        <f>AA19*100/Q19</f>
        <v>48.317869090450039</v>
      </c>
      <c r="AC19" s="155">
        <v>0</v>
      </c>
      <c r="AD19" s="155">
        <f>78-1.45</f>
        <v>76.55</v>
      </c>
      <c r="AE19" s="155">
        <v>0</v>
      </c>
      <c r="AF19" s="155">
        <f>SUM(AC19:AE19)</f>
        <v>76.55</v>
      </c>
      <c r="AG19" s="156">
        <f t="shared" si="0"/>
        <v>48.317869090450039</v>
      </c>
      <c r="AH19" s="138"/>
      <c r="AI19" s="138"/>
      <c r="AJ19" s="138"/>
      <c r="AK19" s="138"/>
      <c r="AL19" s="138"/>
      <c r="AM19" s="138"/>
    </row>
    <row r="20" spans="1:64" s="129" customFormat="1" ht="25.5">
      <c r="A20" s="157"/>
      <c r="B20" s="129" t="s">
        <v>230</v>
      </c>
      <c r="C20" s="138"/>
      <c r="D20" s="138"/>
      <c r="E20" s="138" t="s">
        <v>214</v>
      </c>
      <c r="F20" s="138" t="s">
        <v>126</v>
      </c>
      <c r="G20" s="138"/>
      <c r="H20" s="138" t="s">
        <v>231</v>
      </c>
      <c r="I20" s="139" t="s">
        <v>126</v>
      </c>
      <c r="J20" s="138"/>
      <c r="K20" s="140"/>
      <c r="L20" s="138"/>
      <c r="M20" s="138" t="s">
        <v>126</v>
      </c>
      <c r="N20" s="138"/>
      <c r="O20" s="138" t="s">
        <v>126</v>
      </c>
      <c r="P20" s="138"/>
      <c r="Q20" s="163">
        <v>4.53</v>
      </c>
      <c r="R20" s="138"/>
      <c r="S20" s="149">
        <v>2.5299999999999998</v>
      </c>
      <c r="T20" s="142" t="s">
        <v>232</v>
      </c>
      <c r="U20" s="154">
        <v>0</v>
      </c>
      <c r="V20" s="155">
        <v>2.5299999999999998</v>
      </c>
      <c r="W20" s="154">
        <v>0</v>
      </c>
      <c r="X20" s="155">
        <v>0</v>
      </c>
      <c r="Y20" s="155">
        <v>2</v>
      </c>
      <c r="Z20" s="155">
        <v>0</v>
      </c>
      <c r="AA20" s="155">
        <v>2</v>
      </c>
      <c r="AB20" s="156">
        <f>AA20*100/Q20</f>
        <v>44.150110375275936</v>
      </c>
      <c r="AC20" s="155">
        <v>0</v>
      </c>
      <c r="AD20" s="155">
        <v>2</v>
      </c>
      <c r="AE20" s="155">
        <v>0</v>
      </c>
      <c r="AF20" s="155">
        <f>SUM(AC20:AE20)</f>
        <v>2</v>
      </c>
      <c r="AG20" s="156">
        <f t="shared" si="0"/>
        <v>44.150110375275936</v>
      </c>
      <c r="AH20" s="138"/>
      <c r="AI20" s="138"/>
      <c r="AJ20" s="138"/>
      <c r="AK20" s="138"/>
      <c r="AL20" s="138"/>
      <c r="AM20" s="138"/>
    </row>
    <row r="21" spans="1:64" s="129" customFormat="1" ht="25.5">
      <c r="A21" s="173"/>
      <c r="B21" s="152" t="s">
        <v>233</v>
      </c>
      <c r="C21" s="138"/>
      <c r="D21" s="138"/>
      <c r="E21" s="138" t="s">
        <v>214</v>
      </c>
      <c r="F21" s="138" t="s">
        <v>126</v>
      </c>
      <c r="G21" s="138"/>
      <c r="H21" s="138" t="s">
        <v>234</v>
      </c>
      <c r="I21" s="139" t="s">
        <v>126</v>
      </c>
      <c r="J21" s="138"/>
      <c r="K21" s="140"/>
      <c r="L21" s="138"/>
      <c r="M21" s="138" t="s">
        <v>126</v>
      </c>
      <c r="N21" s="138"/>
      <c r="O21" s="138" t="s">
        <v>126</v>
      </c>
      <c r="P21" s="138"/>
      <c r="Q21" s="163">
        <v>1.94</v>
      </c>
      <c r="R21" s="138"/>
      <c r="S21" s="149">
        <v>0.94</v>
      </c>
      <c r="T21" s="142" t="s">
        <v>232</v>
      </c>
      <c r="U21" s="154">
        <v>0</v>
      </c>
      <c r="V21" s="155">
        <v>0.94</v>
      </c>
      <c r="W21" s="154">
        <v>0</v>
      </c>
      <c r="X21" s="155">
        <v>0</v>
      </c>
      <c r="Y21" s="155">
        <v>1</v>
      </c>
      <c r="Z21" s="155">
        <v>0</v>
      </c>
      <c r="AA21" s="155">
        <v>1</v>
      </c>
      <c r="AB21" s="156">
        <f t="shared" ref="AB21:AB80" si="1">AA21*100/Q21</f>
        <v>51.546391752577321</v>
      </c>
      <c r="AC21" s="155">
        <v>0</v>
      </c>
      <c r="AD21" s="155">
        <v>1</v>
      </c>
      <c r="AE21" s="155">
        <v>0</v>
      </c>
      <c r="AF21" s="155">
        <f>SUM(AC21:AE21)</f>
        <v>1</v>
      </c>
      <c r="AG21" s="156">
        <f t="shared" si="0"/>
        <v>51.546391752577321</v>
      </c>
      <c r="AH21" s="138"/>
      <c r="AI21" s="138"/>
      <c r="AJ21" s="138"/>
      <c r="AK21" s="138"/>
      <c r="AL21" s="138"/>
      <c r="AM21" s="138"/>
    </row>
    <row r="22" spans="1:64" s="129" customFormat="1" ht="21" customHeight="1">
      <c r="A22" s="142"/>
      <c r="B22" s="169" t="s">
        <v>235</v>
      </c>
      <c r="C22" s="138"/>
      <c r="D22" s="138"/>
      <c r="E22" s="138"/>
      <c r="F22" s="138"/>
      <c r="G22" s="138"/>
      <c r="H22" s="138"/>
      <c r="I22" s="139"/>
      <c r="J22" s="138"/>
      <c r="K22" s="140"/>
      <c r="L22" s="138"/>
      <c r="M22" s="138"/>
      <c r="N22" s="138"/>
      <c r="O22" s="138"/>
      <c r="P22" s="138"/>
      <c r="Q22" s="159">
        <f>SUM(Q19:Q21)</f>
        <v>164.9</v>
      </c>
      <c r="R22" s="138"/>
      <c r="S22" s="141">
        <f>S21+S20+S19</f>
        <v>83.9</v>
      </c>
      <c r="T22" s="142"/>
      <c r="U22" s="160">
        <f t="shared" ref="U22:AK22" si="2">U21+U20+U19</f>
        <v>0</v>
      </c>
      <c r="V22" s="160">
        <f t="shared" si="2"/>
        <v>83.9</v>
      </c>
      <c r="W22" s="160">
        <f t="shared" si="2"/>
        <v>0</v>
      </c>
      <c r="X22" s="160">
        <f t="shared" si="2"/>
        <v>0</v>
      </c>
      <c r="Y22" s="160">
        <f t="shared" si="2"/>
        <v>79.55</v>
      </c>
      <c r="Z22" s="160">
        <f t="shared" si="2"/>
        <v>0</v>
      </c>
      <c r="AA22" s="160">
        <f t="shared" si="2"/>
        <v>79.55</v>
      </c>
      <c r="AB22" s="161">
        <f t="shared" si="1"/>
        <v>48.241358399029714</v>
      </c>
      <c r="AC22" s="160">
        <f t="shared" si="2"/>
        <v>0</v>
      </c>
      <c r="AD22" s="160">
        <f t="shared" si="2"/>
        <v>79.55</v>
      </c>
      <c r="AE22" s="160">
        <f t="shared" si="2"/>
        <v>0</v>
      </c>
      <c r="AF22" s="160">
        <f t="shared" si="2"/>
        <v>79.55</v>
      </c>
      <c r="AG22" s="161">
        <f>AF22*100/Q22</f>
        <v>48.241358399029714</v>
      </c>
      <c r="AH22" s="161"/>
      <c r="AI22" s="161">
        <f t="shared" si="2"/>
        <v>0</v>
      </c>
      <c r="AJ22" s="161">
        <f t="shared" si="2"/>
        <v>0</v>
      </c>
      <c r="AK22" s="161">
        <f t="shared" si="2"/>
        <v>0</v>
      </c>
      <c r="AL22" s="161"/>
      <c r="AM22" s="138"/>
    </row>
    <row r="23" spans="1:64" s="182" customFormat="1" ht="25.9" customHeight="1">
      <c r="A23" s="174"/>
      <c r="B23" s="175" t="s">
        <v>236</v>
      </c>
      <c r="C23" s="176"/>
      <c r="D23" s="176"/>
      <c r="E23" s="176"/>
      <c r="F23" s="176"/>
      <c r="G23" s="176"/>
      <c r="H23" s="176"/>
      <c r="I23" s="176"/>
      <c r="J23" s="176"/>
      <c r="K23" s="176">
        <v>1.5</v>
      </c>
      <c r="L23" s="176"/>
      <c r="M23" s="176"/>
      <c r="N23" s="176"/>
      <c r="O23" s="176"/>
      <c r="P23" s="176"/>
      <c r="Q23" s="177">
        <f>Q22+Q17+Q14</f>
        <v>206.95147575000001</v>
      </c>
      <c r="R23" s="176"/>
      <c r="S23" s="166">
        <f>S22+S17+S14</f>
        <v>105</v>
      </c>
      <c r="T23" s="174"/>
      <c r="U23" s="166">
        <f t="shared" ref="U23:AK23" si="3">U22+U17+U14</f>
        <v>0</v>
      </c>
      <c r="V23" s="166">
        <f t="shared" si="3"/>
        <v>105</v>
      </c>
      <c r="W23" s="166">
        <f t="shared" si="3"/>
        <v>0</v>
      </c>
      <c r="X23" s="166">
        <f t="shared" si="3"/>
        <v>0</v>
      </c>
      <c r="Y23" s="166">
        <f t="shared" si="3"/>
        <v>100.5</v>
      </c>
      <c r="Z23" s="166">
        <f t="shared" si="3"/>
        <v>0</v>
      </c>
      <c r="AA23" s="166">
        <f t="shared" si="3"/>
        <v>100.5</v>
      </c>
      <c r="AB23" s="178">
        <f t="shared" si="1"/>
        <v>48.562108405259821</v>
      </c>
      <c r="AC23" s="166">
        <f t="shared" si="3"/>
        <v>0</v>
      </c>
      <c r="AD23" s="166">
        <f t="shared" si="3"/>
        <v>100.5</v>
      </c>
      <c r="AE23" s="166">
        <f t="shared" si="3"/>
        <v>0</v>
      </c>
      <c r="AF23" s="166">
        <f t="shared" si="3"/>
        <v>100.5</v>
      </c>
      <c r="AG23" s="178">
        <f>AF23*100/Q23</f>
        <v>48.562108405259821</v>
      </c>
      <c r="AH23" s="178"/>
      <c r="AI23" s="179">
        <f t="shared" si="3"/>
        <v>0</v>
      </c>
      <c r="AJ23" s="179">
        <f t="shared" si="3"/>
        <v>0</v>
      </c>
      <c r="AK23" s="179">
        <f t="shared" si="3"/>
        <v>0</v>
      </c>
      <c r="AL23" s="180"/>
      <c r="AM23" s="180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</row>
    <row r="24" spans="1:64" s="129" customFormat="1" ht="39" customHeight="1">
      <c r="A24" s="183" t="s">
        <v>237</v>
      </c>
      <c r="B24" s="146" t="s">
        <v>238</v>
      </c>
      <c r="C24" s="184" t="s">
        <v>239</v>
      </c>
      <c r="D24" s="184"/>
      <c r="E24" s="142"/>
      <c r="F24" s="138"/>
      <c r="G24" s="138"/>
      <c r="H24" s="138"/>
      <c r="I24" s="139"/>
      <c r="J24" s="138"/>
      <c r="K24" s="140"/>
      <c r="L24" s="138"/>
      <c r="M24" s="138"/>
      <c r="N24" s="138"/>
      <c r="O24" s="138"/>
      <c r="P24" s="138"/>
      <c r="Q24" s="139"/>
      <c r="R24" s="138"/>
      <c r="S24" s="141"/>
      <c r="T24" s="142"/>
      <c r="U24" s="154"/>
      <c r="V24" s="154"/>
      <c r="W24" s="154"/>
      <c r="X24" s="155"/>
      <c r="Y24" s="155"/>
      <c r="Z24" s="155"/>
      <c r="AA24" s="155"/>
      <c r="AB24" s="156"/>
      <c r="AC24" s="155"/>
      <c r="AD24" s="155"/>
      <c r="AE24" s="155"/>
      <c r="AF24" s="155"/>
      <c r="AG24" s="156"/>
      <c r="AH24" s="138"/>
      <c r="AI24" s="138"/>
      <c r="AJ24" s="138"/>
      <c r="AK24" s="138"/>
      <c r="AL24" s="138"/>
      <c r="AM24" s="138"/>
    </row>
    <row r="25" spans="1:64" s="129" customFormat="1" ht="33" customHeight="1">
      <c r="A25" s="131"/>
      <c r="B25" s="146" t="s">
        <v>212</v>
      </c>
      <c r="C25" s="142"/>
      <c r="D25" s="142"/>
      <c r="E25" s="142"/>
      <c r="F25" s="138"/>
      <c r="G25" s="138"/>
      <c r="H25" s="138"/>
      <c r="I25" s="139"/>
      <c r="J25" s="138"/>
      <c r="K25" s="140"/>
      <c r="L25" s="138"/>
      <c r="M25" s="138"/>
      <c r="N25" s="138"/>
      <c r="O25" s="138"/>
      <c r="P25" s="138"/>
      <c r="Q25" s="139"/>
      <c r="R25" s="138"/>
      <c r="S25" s="141"/>
      <c r="T25" s="142"/>
      <c r="U25" s="154"/>
      <c r="V25" s="154"/>
      <c r="W25" s="154"/>
      <c r="X25" s="155"/>
      <c r="Y25" s="155"/>
      <c r="Z25" s="155"/>
      <c r="AA25" s="155"/>
      <c r="AB25" s="156"/>
      <c r="AC25" s="155"/>
      <c r="AD25" s="155"/>
      <c r="AE25" s="155"/>
      <c r="AF25" s="155"/>
      <c r="AG25" s="156"/>
      <c r="AH25" s="138"/>
      <c r="AI25" s="138"/>
      <c r="AJ25" s="138"/>
      <c r="AK25" s="138"/>
      <c r="AL25" s="138"/>
      <c r="AM25" s="138"/>
    </row>
    <row r="26" spans="1:64" s="129" customFormat="1" ht="25.5">
      <c r="A26" s="185"/>
      <c r="B26" s="172" t="s">
        <v>240</v>
      </c>
      <c r="E26" s="142" t="s">
        <v>241</v>
      </c>
      <c r="F26" s="142" t="s">
        <v>104</v>
      </c>
      <c r="G26" s="142" t="s">
        <v>242</v>
      </c>
      <c r="H26" s="142" t="s">
        <v>243</v>
      </c>
      <c r="I26" s="139">
        <v>61</v>
      </c>
      <c r="J26" s="186"/>
      <c r="K26" s="187">
        <v>20.41</v>
      </c>
      <c r="L26" s="138"/>
      <c r="M26" s="188">
        <v>5.66</v>
      </c>
      <c r="N26" s="189">
        <f>M26/I26</f>
        <v>9.2786885245901646E-2</v>
      </c>
      <c r="O26" s="190">
        <v>1</v>
      </c>
      <c r="P26" s="191">
        <f t="shared" ref="P26:P32" si="4">O26/I26</f>
        <v>1.6393442622950821E-2</v>
      </c>
      <c r="Q26" s="192">
        <v>5602</v>
      </c>
      <c r="R26" s="138"/>
      <c r="S26" s="141">
        <v>1867.32</v>
      </c>
      <c r="T26" s="142" t="s">
        <v>244</v>
      </c>
      <c r="U26" s="154">
        <f t="shared" ref="U26:U32" si="5">S26-W26</f>
        <v>1655.3799999999999</v>
      </c>
      <c r="V26" s="154">
        <v>0</v>
      </c>
      <c r="W26" s="154">
        <v>211.94</v>
      </c>
      <c r="X26" s="171">
        <f>798.82+10</f>
        <v>808.82</v>
      </c>
      <c r="Y26" s="171">
        <v>0</v>
      </c>
      <c r="Z26" s="155">
        <v>117.72</v>
      </c>
      <c r="AA26" s="155">
        <f>SUM(X26:Z26)</f>
        <v>926.54000000000008</v>
      </c>
      <c r="AB26" s="156">
        <f t="shared" si="1"/>
        <v>16.539450196358445</v>
      </c>
      <c r="AC26" s="155">
        <v>727.82</v>
      </c>
      <c r="AD26" s="155">
        <v>0</v>
      </c>
      <c r="AE26" s="155">
        <v>95.72</v>
      </c>
      <c r="AF26" s="155">
        <f>SUM(AC26:AE26)</f>
        <v>823.54000000000008</v>
      </c>
      <c r="AG26" s="156">
        <f t="shared" si="0"/>
        <v>14.700821135308821</v>
      </c>
      <c r="AH26" s="193"/>
      <c r="AI26" s="194">
        <v>66.087000000000003</v>
      </c>
      <c r="AJ26" s="195">
        <v>0</v>
      </c>
      <c r="AK26" s="193">
        <f>SUM(AI26:AJ26)</f>
        <v>66.087000000000003</v>
      </c>
      <c r="AL26" s="193"/>
      <c r="AM26" s="193"/>
    </row>
    <row r="27" spans="1:64" s="129" customFormat="1" ht="25.5">
      <c r="A27" s="196"/>
      <c r="B27" s="172" t="s">
        <v>245</v>
      </c>
      <c r="C27" s="142"/>
      <c r="D27" s="142"/>
      <c r="E27" s="142" t="s">
        <v>241</v>
      </c>
      <c r="F27" s="142" t="s">
        <v>104</v>
      </c>
      <c r="G27" s="142" t="s">
        <v>246</v>
      </c>
      <c r="H27" s="142" t="s">
        <v>247</v>
      </c>
      <c r="I27" s="139">
        <v>235</v>
      </c>
      <c r="J27" s="186"/>
      <c r="K27" s="140">
        <v>44.42</v>
      </c>
      <c r="L27" s="138"/>
      <c r="M27" s="188">
        <v>14.58</v>
      </c>
      <c r="N27" s="189">
        <f t="shared" ref="N27:N30" si="6">M27/I27</f>
        <v>6.2042553191489359E-2</v>
      </c>
      <c r="O27" s="197">
        <v>6.26</v>
      </c>
      <c r="P27" s="191">
        <f t="shared" si="4"/>
        <v>2.6638297872340424E-2</v>
      </c>
      <c r="Q27" s="192">
        <v>20309</v>
      </c>
      <c r="R27" s="138"/>
      <c r="S27" s="141">
        <v>3838.4</v>
      </c>
      <c r="T27" s="142" t="s">
        <v>244</v>
      </c>
      <c r="U27" s="154">
        <f t="shared" si="5"/>
        <v>3402.7400000000002</v>
      </c>
      <c r="V27" s="154">
        <v>0</v>
      </c>
      <c r="W27" s="154">
        <v>435.66</v>
      </c>
      <c r="X27" s="171">
        <v>2319.96</v>
      </c>
      <c r="Y27" s="171">
        <v>0</v>
      </c>
      <c r="Z27" s="155">
        <f>569.82-9.53</f>
        <v>560.29000000000008</v>
      </c>
      <c r="AA27" s="155">
        <f t="shared" ref="AA27:AA88" si="7">SUM(X27:Z27)</f>
        <v>2880.25</v>
      </c>
      <c r="AB27" s="156">
        <f t="shared" si="1"/>
        <v>14.182135998818257</v>
      </c>
      <c r="AC27" s="155">
        <f>1988.96+9.84+0.15+1.45</f>
        <v>2000.4</v>
      </c>
      <c r="AD27" s="155">
        <v>0</v>
      </c>
      <c r="AE27" s="155">
        <f>406.82-11.84</f>
        <v>394.98</v>
      </c>
      <c r="AF27" s="155">
        <f>SUM(AC27:AE27)</f>
        <v>2395.38</v>
      </c>
      <c r="AG27" s="156">
        <f t="shared" si="0"/>
        <v>11.794672312767739</v>
      </c>
      <c r="AH27" s="198"/>
      <c r="AI27" s="194">
        <v>300</v>
      </c>
      <c r="AJ27" s="195">
        <v>0</v>
      </c>
      <c r="AK27" s="193">
        <f t="shared" ref="AK27:AK88" si="8">SUM(AI27:AJ27)</f>
        <v>300</v>
      </c>
      <c r="AL27" s="198"/>
      <c r="AM27" s="198"/>
    </row>
    <row r="28" spans="1:64" s="129" customFormat="1" ht="25.5">
      <c r="A28" s="196"/>
      <c r="B28" s="172" t="s">
        <v>248</v>
      </c>
      <c r="C28" s="142"/>
      <c r="D28" s="142"/>
      <c r="E28" s="142" t="s">
        <v>241</v>
      </c>
      <c r="F28" s="142" t="s">
        <v>104</v>
      </c>
      <c r="G28" s="142" t="s">
        <v>249</v>
      </c>
      <c r="H28" s="142" t="s">
        <v>250</v>
      </c>
      <c r="I28" s="139">
        <v>25</v>
      </c>
      <c r="J28" s="186"/>
      <c r="K28" s="140">
        <v>4.57</v>
      </c>
      <c r="L28" s="138"/>
      <c r="M28" s="188">
        <v>1.39</v>
      </c>
      <c r="N28" s="189">
        <f t="shared" si="6"/>
        <v>5.5599999999999997E-2</v>
      </c>
      <c r="O28" s="197">
        <v>0</v>
      </c>
      <c r="P28" s="191">
        <f t="shared" si="4"/>
        <v>0</v>
      </c>
      <c r="Q28" s="192">
        <f>I28*57.96</f>
        <v>1449</v>
      </c>
      <c r="R28" s="138"/>
      <c r="S28" s="141">
        <v>265.02</v>
      </c>
      <c r="T28" s="142" t="s">
        <v>244</v>
      </c>
      <c r="U28" s="154">
        <f t="shared" si="5"/>
        <v>234.94</v>
      </c>
      <c r="V28" s="154">
        <v>0</v>
      </c>
      <c r="W28" s="154">
        <v>30.08</v>
      </c>
      <c r="X28" s="171">
        <f t="shared" ref="X28:X88" si="9">AC28+AI28</f>
        <v>7.29</v>
      </c>
      <c r="Y28" s="171">
        <v>0</v>
      </c>
      <c r="Z28" s="155">
        <f t="shared" ref="Z28:Z88" si="10">AE28+AJ28</f>
        <v>0</v>
      </c>
      <c r="AA28" s="155">
        <f t="shared" si="7"/>
        <v>7.29</v>
      </c>
      <c r="AB28" s="156">
        <f t="shared" si="1"/>
        <v>0.50310559006211175</v>
      </c>
      <c r="AC28" s="155">
        <v>7.29</v>
      </c>
      <c r="AD28" s="155">
        <v>0</v>
      </c>
      <c r="AE28" s="155">
        <v>0</v>
      </c>
      <c r="AF28" s="155">
        <f t="shared" ref="AF28:AF88" si="11">SUM(AC28:AE28)</f>
        <v>7.29</v>
      </c>
      <c r="AG28" s="156">
        <f t="shared" si="0"/>
        <v>0.50310559006211175</v>
      </c>
      <c r="AH28" s="193"/>
      <c r="AI28" s="195"/>
      <c r="AJ28" s="195"/>
      <c r="AK28" s="193">
        <f t="shared" si="8"/>
        <v>0</v>
      </c>
      <c r="AL28" s="193"/>
      <c r="AM28" s="193"/>
    </row>
    <row r="29" spans="1:64" s="129" customFormat="1" ht="25.5">
      <c r="A29" s="196"/>
      <c r="B29" s="172" t="s">
        <v>251</v>
      </c>
      <c r="C29" s="142"/>
      <c r="D29" s="142"/>
      <c r="E29" s="142" t="s">
        <v>241</v>
      </c>
      <c r="F29" s="142" t="s">
        <v>252</v>
      </c>
      <c r="G29" s="142" t="s">
        <v>253</v>
      </c>
      <c r="H29" s="142" t="s">
        <v>254</v>
      </c>
      <c r="I29" s="139">
        <v>1688</v>
      </c>
      <c r="J29" s="186"/>
      <c r="K29" s="140">
        <v>255.79</v>
      </c>
      <c r="L29" s="138"/>
      <c r="M29" s="188">
        <v>14.18</v>
      </c>
      <c r="N29" s="189">
        <f t="shared" si="6"/>
        <v>8.4004739336492884E-3</v>
      </c>
      <c r="O29" s="197">
        <v>9.3000000000000007</v>
      </c>
      <c r="P29" s="191">
        <f t="shared" si="4"/>
        <v>5.5094786729857825E-3</v>
      </c>
      <c r="Q29" s="192">
        <v>8813</v>
      </c>
      <c r="R29" s="138"/>
      <c r="S29" s="141">
        <v>1335.2</v>
      </c>
      <c r="T29" s="142" t="s">
        <v>244</v>
      </c>
      <c r="U29" s="154">
        <f t="shared" si="5"/>
        <v>1183.6500000000001</v>
      </c>
      <c r="V29" s="154">
        <v>0</v>
      </c>
      <c r="W29" s="154">
        <v>151.55000000000001</v>
      </c>
      <c r="X29" s="171">
        <f t="shared" si="9"/>
        <v>0</v>
      </c>
      <c r="Y29" s="171">
        <v>0</v>
      </c>
      <c r="Z29" s="155">
        <f t="shared" si="10"/>
        <v>0</v>
      </c>
      <c r="AA29" s="155">
        <f t="shared" si="7"/>
        <v>0</v>
      </c>
      <c r="AB29" s="156">
        <f t="shared" si="1"/>
        <v>0</v>
      </c>
      <c r="AC29" s="155">
        <v>0</v>
      </c>
      <c r="AD29" s="155">
        <v>0</v>
      </c>
      <c r="AE29" s="155">
        <v>0</v>
      </c>
      <c r="AF29" s="155">
        <f t="shared" si="11"/>
        <v>0</v>
      </c>
      <c r="AG29" s="156">
        <f t="shared" si="0"/>
        <v>0</v>
      </c>
      <c r="AH29" s="193"/>
      <c r="AI29" s="195"/>
      <c r="AJ29" s="195"/>
      <c r="AK29" s="193">
        <f t="shared" si="8"/>
        <v>0</v>
      </c>
      <c r="AL29" s="193"/>
      <c r="AM29" s="193"/>
    </row>
    <row r="30" spans="1:64" s="129" customFormat="1" ht="25.5">
      <c r="A30" s="196"/>
      <c r="B30" s="172" t="s">
        <v>255</v>
      </c>
      <c r="C30" s="142"/>
      <c r="D30" s="142"/>
      <c r="E30" s="142" t="s">
        <v>256</v>
      </c>
      <c r="F30" s="142" t="s">
        <v>104</v>
      </c>
      <c r="G30" s="142" t="s">
        <v>257</v>
      </c>
      <c r="H30" s="142" t="s">
        <v>258</v>
      </c>
      <c r="I30" s="139">
        <v>60</v>
      </c>
      <c r="J30" s="186"/>
      <c r="K30" s="199">
        <v>24.76</v>
      </c>
      <c r="L30" s="138"/>
      <c r="M30" s="138">
        <v>0</v>
      </c>
      <c r="N30" s="200">
        <f t="shared" si="6"/>
        <v>0</v>
      </c>
      <c r="O30" s="201">
        <v>0</v>
      </c>
      <c r="P30" s="202">
        <f t="shared" si="4"/>
        <v>0</v>
      </c>
      <c r="Q30" s="203">
        <f>I30*28.27+0.3</f>
        <v>1696.5</v>
      </c>
      <c r="R30" s="138"/>
      <c r="S30" s="141">
        <v>700</v>
      </c>
      <c r="T30" s="142" t="s">
        <v>244</v>
      </c>
      <c r="U30" s="154">
        <f t="shared" si="5"/>
        <v>620.54999999999995</v>
      </c>
      <c r="V30" s="154">
        <v>0</v>
      </c>
      <c r="W30" s="154">
        <v>79.45</v>
      </c>
      <c r="X30" s="171">
        <f t="shared" si="9"/>
        <v>0</v>
      </c>
      <c r="Y30" s="171">
        <v>0</v>
      </c>
      <c r="Z30" s="155">
        <f t="shared" si="10"/>
        <v>0</v>
      </c>
      <c r="AA30" s="155">
        <f t="shared" si="7"/>
        <v>0</v>
      </c>
      <c r="AB30" s="156">
        <f t="shared" si="1"/>
        <v>0</v>
      </c>
      <c r="AC30" s="155">
        <v>0</v>
      </c>
      <c r="AD30" s="155">
        <v>0</v>
      </c>
      <c r="AE30" s="155">
        <v>0</v>
      </c>
      <c r="AF30" s="155">
        <f t="shared" si="11"/>
        <v>0</v>
      </c>
      <c r="AG30" s="156">
        <f t="shared" si="0"/>
        <v>0</v>
      </c>
      <c r="AH30" s="193"/>
      <c r="AI30" s="195"/>
      <c r="AJ30" s="195"/>
      <c r="AK30" s="193">
        <f t="shared" si="8"/>
        <v>0</v>
      </c>
      <c r="AL30" s="193"/>
      <c r="AM30" s="193"/>
    </row>
    <row r="31" spans="1:64" s="129" customFormat="1" ht="25.5">
      <c r="A31" s="196"/>
      <c r="B31" s="172" t="s">
        <v>259</v>
      </c>
      <c r="C31" s="142"/>
      <c r="D31" s="142"/>
      <c r="E31" s="142" t="s">
        <v>256</v>
      </c>
      <c r="F31" s="138" t="s">
        <v>98</v>
      </c>
      <c r="G31" s="142" t="s">
        <v>260</v>
      </c>
      <c r="H31" s="138">
        <v>4840</v>
      </c>
      <c r="I31" s="139">
        <v>822</v>
      </c>
      <c r="J31" s="186"/>
      <c r="K31" s="140">
        <v>200</v>
      </c>
      <c r="L31" s="138"/>
      <c r="M31" s="139">
        <v>0</v>
      </c>
      <c r="N31" s="204">
        <v>0</v>
      </c>
      <c r="O31" s="205">
        <v>0</v>
      </c>
      <c r="P31" s="191">
        <f t="shared" si="4"/>
        <v>0</v>
      </c>
      <c r="Q31" s="153">
        <v>99.36</v>
      </c>
      <c r="R31" s="138"/>
      <c r="S31" s="141">
        <v>48.35</v>
      </c>
      <c r="T31" s="142" t="s">
        <v>261</v>
      </c>
      <c r="U31" s="154">
        <f t="shared" si="5"/>
        <v>42.31</v>
      </c>
      <c r="V31" s="154">
        <v>0</v>
      </c>
      <c r="W31" s="154">
        <v>6.04</v>
      </c>
      <c r="X31" s="171">
        <f t="shared" si="9"/>
        <v>0</v>
      </c>
      <c r="Y31" s="171">
        <v>0</v>
      </c>
      <c r="Z31" s="155">
        <f t="shared" si="10"/>
        <v>0</v>
      </c>
      <c r="AA31" s="155">
        <f t="shared" si="7"/>
        <v>0</v>
      </c>
      <c r="AB31" s="156">
        <f t="shared" si="1"/>
        <v>0</v>
      </c>
      <c r="AC31" s="155">
        <v>0</v>
      </c>
      <c r="AD31" s="155">
        <v>0</v>
      </c>
      <c r="AE31" s="155">
        <v>0</v>
      </c>
      <c r="AF31" s="155">
        <f t="shared" si="11"/>
        <v>0</v>
      </c>
      <c r="AG31" s="156">
        <f t="shared" si="0"/>
        <v>0</v>
      </c>
      <c r="AH31" s="138"/>
      <c r="AI31" s="138"/>
      <c r="AJ31" s="138"/>
      <c r="AK31" s="193">
        <f t="shared" si="8"/>
        <v>0</v>
      </c>
      <c r="AL31" s="138"/>
      <c r="AM31" s="138"/>
    </row>
    <row r="32" spans="1:64" s="129" customFormat="1" ht="25.5">
      <c r="A32" s="196"/>
      <c r="B32" s="172" t="s">
        <v>262</v>
      </c>
      <c r="C32" s="142"/>
      <c r="D32" s="142"/>
      <c r="E32" s="142" t="s">
        <v>256</v>
      </c>
      <c r="F32" s="142" t="s">
        <v>104</v>
      </c>
      <c r="G32" s="142" t="s">
        <v>263</v>
      </c>
      <c r="H32" s="142">
        <v>4941</v>
      </c>
      <c r="I32" s="139">
        <v>411</v>
      </c>
      <c r="J32" s="138"/>
      <c r="K32" s="140">
        <v>90</v>
      </c>
      <c r="L32" s="142"/>
      <c r="M32" s="138">
        <v>0</v>
      </c>
      <c r="N32" s="191">
        <v>0</v>
      </c>
      <c r="O32" s="138">
        <v>0</v>
      </c>
      <c r="P32" s="191">
        <f t="shared" si="4"/>
        <v>0</v>
      </c>
      <c r="Q32" s="170">
        <v>969.96</v>
      </c>
      <c r="R32" s="138"/>
      <c r="S32" s="141">
        <v>208.25</v>
      </c>
      <c r="T32" s="142" t="s">
        <v>261</v>
      </c>
      <c r="U32" s="154">
        <f t="shared" si="5"/>
        <v>182.22</v>
      </c>
      <c r="V32" s="154">
        <v>0</v>
      </c>
      <c r="W32" s="154">
        <v>26.03</v>
      </c>
      <c r="X32" s="171">
        <f t="shared" si="9"/>
        <v>0</v>
      </c>
      <c r="Y32" s="171">
        <v>0</v>
      </c>
      <c r="Z32" s="155">
        <f t="shared" si="10"/>
        <v>0</v>
      </c>
      <c r="AA32" s="155">
        <f t="shared" si="7"/>
        <v>0</v>
      </c>
      <c r="AB32" s="156">
        <f t="shared" si="1"/>
        <v>0</v>
      </c>
      <c r="AC32" s="155">
        <v>0</v>
      </c>
      <c r="AD32" s="155">
        <v>0</v>
      </c>
      <c r="AE32" s="155">
        <v>0</v>
      </c>
      <c r="AF32" s="155">
        <f t="shared" si="11"/>
        <v>0</v>
      </c>
      <c r="AG32" s="156">
        <f t="shared" si="0"/>
        <v>0</v>
      </c>
      <c r="AH32" s="193"/>
      <c r="AI32" s="195"/>
      <c r="AJ32" s="195"/>
      <c r="AK32" s="193">
        <f t="shared" si="8"/>
        <v>0</v>
      </c>
      <c r="AL32" s="193"/>
      <c r="AM32" s="193"/>
    </row>
    <row r="33" spans="1:64" s="129" customFormat="1" ht="22.15" customHeight="1">
      <c r="A33" s="206"/>
      <c r="B33" s="169" t="s">
        <v>264</v>
      </c>
      <c r="C33" s="142"/>
      <c r="D33" s="142"/>
      <c r="E33" s="142"/>
      <c r="F33" s="142"/>
      <c r="G33" s="142"/>
      <c r="H33" s="142"/>
      <c r="I33" s="139"/>
      <c r="J33" s="186"/>
      <c r="K33" s="187"/>
      <c r="L33" s="138"/>
      <c r="O33" s="138"/>
      <c r="P33" s="191"/>
      <c r="Q33" s="207">
        <f>SUM(Q26:Q32)</f>
        <v>38938.82</v>
      </c>
      <c r="R33" s="138"/>
      <c r="S33" s="141">
        <f>SUM(S26:S32)</f>
        <v>8262.5400000000009</v>
      </c>
      <c r="T33" s="142"/>
      <c r="U33" s="160">
        <f t="shared" ref="U33:AM33" si="12">SUM(U26:U32)</f>
        <v>7321.79</v>
      </c>
      <c r="V33" s="160">
        <f t="shared" si="12"/>
        <v>0</v>
      </c>
      <c r="W33" s="160">
        <f t="shared" si="12"/>
        <v>940.75</v>
      </c>
      <c r="X33" s="160">
        <f t="shared" si="12"/>
        <v>3136.07</v>
      </c>
      <c r="Y33" s="160">
        <f t="shared" si="12"/>
        <v>0</v>
      </c>
      <c r="Z33" s="160">
        <f t="shared" si="12"/>
        <v>678.0100000000001</v>
      </c>
      <c r="AA33" s="160">
        <f>SUM(AA26:AA32)</f>
        <v>3814.08</v>
      </c>
      <c r="AB33" s="156">
        <f t="shared" si="1"/>
        <v>9.7950579909714772</v>
      </c>
      <c r="AC33" s="160">
        <f>SUM(AC26:AC32)</f>
        <v>2735.51</v>
      </c>
      <c r="AD33" s="160">
        <f>SUM(AD26:AD32)</f>
        <v>0</v>
      </c>
      <c r="AE33" s="160">
        <f t="shared" si="12"/>
        <v>490.70000000000005</v>
      </c>
      <c r="AF33" s="160">
        <f>SUM(AF26:AF32)</f>
        <v>3226.21</v>
      </c>
      <c r="AG33" s="156">
        <f t="shared" si="0"/>
        <v>8.2853306802825557</v>
      </c>
      <c r="AH33" s="161"/>
      <c r="AI33" s="161">
        <f>SUM(AI26:AI32)</f>
        <v>366.08699999999999</v>
      </c>
      <c r="AJ33" s="161">
        <f t="shared" si="12"/>
        <v>0</v>
      </c>
      <c r="AK33" s="161">
        <f t="shared" si="12"/>
        <v>366.08699999999999</v>
      </c>
      <c r="AL33" s="161">
        <f t="shared" si="12"/>
        <v>0</v>
      </c>
      <c r="AM33" s="161">
        <f t="shared" si="12"/>
        <v>0</v>
      </c>
    </row>
    <row r="34" spans="1:64" s="129" customFormat="1" ht="18" customHeight="1">
      <c r="A34" s="142"/>
      <c r="B34" s="146" t="s">
        <v>219</v>
      </c>
      <c r="C34" s="142"/>
      <c r="D34" s="142"/>
      <c r="E34" s="142"/>
      <c r="F34" s="138"/>
      <c r="G34" s="138"/>
      <c r="H34" s="138"/>
      <c r="I34" s="139"/>
      <c r="J34" s="138"/>
      <c r="K34" s="140"/>
      <c r="L34" s="138"/>
      <c r="M34" s="138"/>
      <c r="N34" s="138"/>
      <c r="O34" s="138"/>
      <c r="P34" s="138"/>
      <c r="Q34" s="139"/>
      <c r="R34" s="138"/>
      <c r="S34" s="141"/>
      <c r="T34" s="142"/>
      <c r="U34" s="154"/>
      <c r="V34" s="154"/>
      <c r="W34" s="154"/>
      <c r="X34" s="171"/>
      <c r="Y34" s="171"/>
      <c r="Z34" s="155"/>
      <c r="AA34" s="155"/>
      <c r="AB34" s="156"/>
      <c r="AC34" s="155"/>
      <c r="AD34" s="155"/>
      <c r="AE34" s="155"/>
      <c r="AF34" s="155"/>
      <c r="AG34" s="156"/>
      <c r="AH34" s="138"/>
      <c r="AI34" s="138"/>
      <c r="AJ34" s="138"/>
      <c r="AK34" s="193">
        <f t="shared" si="8"/>
        <v>0</v>
      </c>
      <c r="AL34" s="138"/>
      <c r="AM34" s="138"/>
    </row>
    <row r="35" spans="1:64" s="129" customFormat="1" ht="25.5">
      <c r="A35" s="151"/>
      <c r="B35" s="152" t="s">
        <v>265</v>
      </c>
      <c r="C35" s="142"/>
      <c r="D35" s="142"/>
      <c r="E35" s="142" t="s">
        <v>266</v>
      </c>
      <c r="F35" s="138" t="s">
        <v>267</v>
      </c>
      <c r="G35" s="142" t="s">
        <v>268</v>
      </c>
      <c r="H35" s="138" t="s">
        <v>269</v>
      </c>
      <c r="I35" s="139">
        <v>4</v>
      </c>
      <c r="J35" s="186"/>
      <c r="K35" s="208">
        <v>2</v>
      </c>
      <c r="L35" s="138"/>
      <c r="M35" s="138">
        <v>2</v>
      </c>
      <c r="N35" s="189">
        <f t="shared" ref="N35:N36" si="13">M35/I35</f>
        <v>0.5</v>
      </c>
      <c r="O35" s="138">
        <v>2</v>
      </c>
      <c r="P35" s="191">
        <f>O35/I35</f>
        <v>0.5</v>
      </c>
      <c r="Q35" s="209">
        <v>208</v>
      </c>
      <c r="R35" s="138"/>
      <c r="S35" s="141">
        <v>116</v>
      </c>
      <c r="T35" s="142" t="s">
        <v>270</v>
      </c>
      <c r="U35" s="154">
        <f>S35-W35</f>
        <v>101.5</v>
      </c>
      <c r="V35" s="154">
        <v>0</v>
      </c>
      <c r="W35" s="154">
        <v>14.5</v>
      </c>
      <c r="X35" s="210">
        <v>82.6</v>
      </c>
      <c r="Y35" s="210">
        <v>0</v>
      </c>
      <c r="Z35" s="211">
        <v>8</v>
      </c>
      <c r="AA35" s="211">
        <f t="shared" si="7"/>
        <v>90.6</v>
      </c>
      <c r="AB35" s="212">
        <f t="shared" si="1"/>
        <v>43.557692307692307</v>
      </c>
      <c r="AC35" s="211">
        <v>0</v>
      </c>
      <c r="AD35" s="211">
        <v>0</v>
      </c>
      <c r="AE35" s="211">
        <v>8</v>
      </c>
      <c r="AF35" s="211">
        <f t="shared" si="11"/>
        <v>8</v>
      </c>
      <c r="AG35" s="212">
        <f t="shared" si="0"/>
        <v>3.8461538461538463</v>
      </c>
      <c r="AH35" s="193"/>
      <c r="AI35" s="186"/>
      <c r="AJ35" s="186"/>
      <c r="AK35" s="193">
        <f t="shared" si="8"/>
        <v>0</v>
      </c>
      <c r="AL35" s="193"/>
      <c r="AM35" s="193"/>
    </row>
    <row r="36" spans="1:64" s="129" customFormat="1" ht="25.5">
      <c r="A36" s="157"/>
      <c r="B36" s="152" t="s">
        <v>271</v>
      </c>
      <c r="C36" s="142"/>
      <c r="D36" s="142"/>
      <c r="E36" s="142" t="s">
        <v>241</v>
      </c>
      <c r="F36" s="138" t="s">
        <v>267</v>
      </c>
      <c r="G36" s="142" t="s">
        <v>272</v>
      </c>
      <c r="H36" s="138" t="s">
        <v>273</v>
      </c>
      <c r="I36" s="139">
        <v>36</v>
      </c>
      <c r="J36" s="186"/>
      <c r="K36" s="187" t="s">
        <v>274</v>
      </c>
      <c r="L36" s="138"/>
      <c r="M36" s="138">
        <v>36</v>
      </c>
      <c r="N36" s="189">
        <f t="shared" si="13"/>
        <v>1</v>
      </c>
      <c r="O36" s="138">
        <v>36</v>
      </c>
      <c r="P36" s="191">
        <f>O36/I36</f>
        <v>1</v>
      </c>
      <c r="Q36" s="209">
        <v>81</v>
      </c>
      <c r="R36" s="138"/>
      <c r="S36" s="141">
        <v>0</v>
      </c>
      <c r="T36" s="142" t="s">
        <v>270</v>
      </c>
      <c r="U36" s="154">
        <v>0</v>
      </c>
      <c r="V36" s="154">
        <v>0</v>
      </c>
      <c r="W36" s="154">
        <v>0</v>
      </c>
      <c r="X36" s="210">
        <v>48.94</v>
      </c>
      <c r="Y36" s="210">
        <v>0</v>
      </c>
      <c r="Z36" s="211">
        <v>7</v>
      </c>
      <c r="AA36" s="211">
        <f t="shared" si="7"/>
        <v>55.94</v>
      </c>
      <c r="AB36" s="212">
        <f t="shared" si="1"/>
        <v>69.061728395061735</v>
      </c>
      <c r="AC36" s="211">
        <v>0</v>
      </c>
      <c r="AD36" s="211">
        <v>0</v>
      </c>
      <c r="AE36" s="211">
        <v>7</v>
      </c>
      <c r="AF36" s="211">
        <f t="shared" si="11"/>
        <v>7</v>
      </c>
      <c r="AG36" s="212">
        <f t="shared" si="0"/>
        <v>8.6419753086419746</v>
      </c>
      <c r="AH36" s="193"/>
      <c r="AI36" s="186"/>
      <c r="AJ36" s="186"/>
      <c r="AK36" s="193">
        <f t="shared" si="8"/>
        <v>0</v>
      </c>
      <c r="AL36" s="193"/>
      <c r="AM36" s="193"/>
    </row>
    <row r="37" spans="1:64" s="129" customFormat="1" ht="25.5">
      <c r="A37" s="173"/>
      <c r="B37" s="152" t="s">
        <v>275</v>
      </c>
      <c r="C37" s="142"/>
      <c r="D37" s="142"/>
      <c r="E37" s="142" t="s">
        <v>241</v>
      </c>
      <c r="F37" s="138" t="s">
        <v>126</v>
      </c>
      <c r="G37" s="142" t="s">
        <v>276</v>
      </c>
      <c r="H37" s="138">
        <v>6814</v>
      </c>
      <c r="I37" s="139" t="s">
        <v>126</v>
      </c>
      <c r="J37" s="186"/>
      <c r="K37" s="213" t="s">
        <v>126</v>
      </c>
      <c r="L37" s="138"/>
      <c r="M37" s="138">
        <v>0</v>
      </c>
      <c r="N37" s="191">
        <v>0</v>
      </c>
      <c r="O37" s="214">
        <v>0</v>
      </c>
      <c r="P37" s="191">
        <v>0</v>
      </c>
      <c r="Q37" s="209">
        <v>132.94</v>
      </c>
      <c r="R37" s="138"/>
      <c r="S37" s="149">
        <v>67.23</v>
      </c>
      <c r="T37" s="142" t="s">
        <v>270</v>
      </c>
      <c r="U37" s="154">
        <f>S37-W37</f>
        <v>58.830000000000005</v>
      </c>
      <c r="V37" s="154">
        <v>0</v>
      </c>
      <c r="W37" s="154">
        <v>8.4</v>
      </c>
      <c r="X37" s="210">
        <f t="shared" si="9"/>
        <v>0</v>
      </c>
      <c r="Y37" s="210">
        <v>0</v>
      </c>
      <c r="Z37" s="211">
        <f t="shared" si="10"/>
        <v>0</v>
      </c>
      <c r="AA37" s="211">
        <f t="shared" si="7"/>
        <v>0</v>
      </c>
      <c r="AB37" s="212">
        <f t="shared" si="1"/>
        <v>0</v>
      </c>
      <c r="AC37" s="211">
        <v>0</v>
      </c>
      <c r="AD37" s="211">
        <v>0</v>
      </c>
      <c r="AE37" s="211">
        <v>0</v>
      </c>
      <c r="AF37" s="211">
        <f t="shared" si="11"/>
        <v>0</v>
      </c>
      <c r="AG37" s="212">
        <f t="shared" si="0"/>
        <v>0</v>
      </c>
      <c r="AH37" s="138"/>
      <c r="AI37" s="138"/>
      <c r="AJ37" s="138"/>
      <c r="AK37" s="193">
        <f t="shared" si="8"/>
        <v>0</v>
      </c>
      <c r="AL37" s="138"/>
      <c r="AM37" s="138"/>
    </row>
    <row r="38" spans="1:64" s="129" customFormat="1" ht="22.5" customHeight="1">
      <c r="A38" s="131"/>
      <c r="B38" s="146" t="s">
        <v>224</v>
      </c>
      <c r="C38" s="131"/>
      <c r="D38" s="131"/>
      <c r="E38" s="131"/>
      <c r="F38" s="132"/>
      <c r="G38" s="131"/>
      <c r="H38" s="132"/>
      <c r="I38" s="158"/>
      <c r="J38" s="215"/>
      <c r="K38" s="187"/>
      <c r="L38" s="132"/>
      <c r="M38" s="132"/>
      <c r="N38" s="216"/>
      <c r="O38" s="217"/>
      <c r="P38" s="216"/>
      <c r="Q38" s="218">
        <f>SUM(Q35:Q37)</f>
        <v>421.94</v>
      </c>
      <c r="R38" s="132"/>
      <c r="S38" s="141">
        <f>SUM(S35:S37)</f>
        <v>183.23000000000002</v>
      </c>
      <c r="T38" s="131"/>
      <c r="U38" s="160">
        <f t="shared" ref="U38:AM38" si="14">SUM(U35:U37)</f>
        <v>160.33000000000001</v>
      </c>
      <c r="V38" s="160">
        <f t="shared" si="14"/>
        <v>0</v>
      </c>
      <c r="W38" s="160">
        <f>SUM(W35:W37)</f>
        <v>22.9</v>
      </c>
      <c r="X38" s="160">
        <f t="shared" si="14"/>
        <v>131.54</v>
      </c>
      <c r="Y38" s="160">
        <f t="shared" si="14"/>
        <v>0</v>
      </c>
      <c r="Z38" s="160">
        <f t="shared" si="14"/>
        <v>15</v>
      </c>
      <c r="AA38" s="160">
        <f t="shared" si="14"/>
        <v>146.54</v>
      </c>
      <c r="AB38" s="161">
        <f t="shared" si="1"/>
        <v>34.730056406124092</v>
      </c>
      <c r="AC38" s="160">
        <f t="shared" si="14"/>
        <v>0</v>
      </c>
      <c r="AD38" s="160">
        <f t="shared" si="14"/>
        <v>0</v>
      </c>
      <c r="AE38" s="160">
        <f t="shared" si="14"/>
        <v>15</v>
      </c>
      <c r="AF38" s="160">
        <f t="shared" si="14"/>
        <v>15</v>
      </c>
      <c r="AG38" s="161">
        <f t="shared" si="0"/>
        <v>3.5550078210172065</v>
      </c>
      <c r="AH38" s="161"/>
      <c r="AI38" s="161">
        <f t="shared" si="14"/>
        <v>0</v>
      </c>
      <c r="AJ38" s="161">
        <f t="shared" si="14"/>
        <v>0</v>
      </c>
      <c r="AK38" s="161">
        <f t="shared" si="14"/>
        <v>0</v>
      </c>
      <c r="AL38" s="161">
        <f t="shared" si="14"/>
        <v>0</v>
      </c>
      <c r="AM38" s="161">
        <f t="shared" si="14"/>
        <v>0</v>
      </c>
    </row>
    <row r="39" spans="1:64" s="129" customFormat="1" ht="33" customHeight="1">
      <c r="A39" s="142"/>
      <c r="B39" s="169" t="s">
        <v>225</v>
      </c>
      <c r="C39" s="142"/>
      <c r="D39" s="142"/>
      <c r="E39" s="142"/>
      <c r="F39" s="138"/>
      <c r="G39" s="142"/>
      <c r="H39" s="138"/>
      <c r="I39" s="139"/>
      <c r="J39" s="186"/>
      <c r="K39" s="187"/>
      <c r="L39" s="138"/>
      <c r="M39" s="138"/>
      <c r="N39" s="191"/>
      <c r="O39" s="214"/>
      <c r="P39" s="191"/>
      <c r="Q39" s="139"/>
      <c r="R39" s="138"/>
      <c r="S39" s="141"/>
      <c r="T39" s="142"/>
      <c r="U39" s="154"/>
      <c r="V39" s="154"/>
      <c r="W39" s="154"/>
      <c r="X39" s="171"/>
      <c r="Y39" s="171"/>
      <c r="Z39" s="155"/>
      <c r="AA39" s="155"/>
      <c r="AB39" s="156"/>
      <c r="AC39" s="155"/>
      <c r="AD39" s="155"/>
      <c r="AE39" s="155"/>
      <c r="AF39" s="155"/>
      <c r="AG39" s="156"/>
      <c r="AH39" s="138"/>
      <c r="AI39" s="138"/>
      <c r="AJ39" s="138"/>
      <c r="AK39" s="193">
        <f t="shared" si="8"/>
        <v>0</v>
      </c>
      <c r="AL39" s="138"/>
      <c r="AM39" s="138"/>
    </row>
    <row r="40" spans="1:64" s="129" customFormat="1" ht="25.5">
      <c r="A40" s="196"/>
      <c r="B40" s="172" t="s">
        <v>277</v>
      </c>
      <c r="C40" s="142"/>
      <c r="D40" s="142"/>
      <c r="E40" s="142" t="s">
        <v>256</v>
      </c>
      <c r="F40" s="142" t="s">
        <v>278</v>
      </c>
      <c r="G40" s="142"/>
      <c r="H40" s="142">
        <v>4901</v>
      </c>
      <c r="I40" s="139" t="s">
        <v>279</v>
      </c>
      <c r="J40" s="138"/>
      <c r="K40" s="140" t="s">
        <v>126</v>
      </c>
      <c r="L40" s="142"/>
      <c r="M40" s="138"/>
      <c r="N40" s="191"/>
      <c r="O40" s="138"/>
      <c r="P40" s="191"/>
      <c r="Q40" s="170">
        <v>75</v>
      </c>
      <c r="R40" s="138"/>
      <c r="S40" s="141">
        <v>10</v>
      </c>
      <c r="T40" s="142" t="s">
        <v>270</v>
      </c>
      <c r="U40" s="154">
        <f>S40-W40</f>
        <v>8.75</v>
      </c>
      <c r="V40" s="154">
        <v>0</v>
      </c>
      <c r="W40" s="154">
        <v>1.25</v>
      </c>
      <c r="X40" s="171">
        <f t="shared" si="9"/>
        <v>2.016</v>
      </c>
      <c r="Y40" s="171">
        <v>0</v>
      </c>
      <c r="Z40" s="155">
        <f t="shared" si="10"/>
        <v>0</v>
      </c>
      <c r="AA40" s="155">
        <f t="shared" si="7"/>
        <v>2.016</v>
      </c>
      <c r="AB40" s="156">
        <f t="shared" si="1"/>
        <v>2.6879999999999997</v>
      </c>
      <c r="AC40" s="155">
        <v>0</v>
      </c>
      <c r="AD40" s="155">
        <v>0</v>
      </c>
      <c r="AE40" s="155">
        <v>0</v>
      </c>
      <c r="AF40" s="155">
        <f t="shared" si="11"/>
        <v>0</v>
      </c>
      <c r="AG40" s="156">
        <f t="shared" si="0"/>
        <v>0</v>
      </c>
      <c r="AH40" s="193"/>
      <c r="AI40" s="195">
        <v>2.016</v>
      </c>
      <c r="AJ40" s="195"/>
      <c r="AK40" s="193">
        <f t="shared" si="8"/>
        <v>2.016</v>
      </c>
      <c r="AL40" s="193"/>
      <c r="AM40" s="193"/>
    </row>
    <row r="41" spans="1:64" s="129" customFormat="1" ht="21" customHeight="1">
      <c r="A41" s="219"/>
      <c r="B41" s="220" t="s">
        <v>280</v>
      </c>
      <c r="C41" s="142"/>
      <c r="D41" s="142"/>
      <c r="E41" s="142"/>
      <c r="F41" s="221"/>
      <c r="G41" s="142"/>
      <c r="H41" s="221"/>
      <c r="I41" s="222"/>
      <c r="J41" s="206"/>
      <c r="K41" s="223"/>
      <c r="L41" s="142"/>
      <c r="M41" s="144"/>
      <c r="N41" s="144"/>
      <c r="O41" s="144"/>
      <c r="P41" s="144"/>
      <c r="Q41" s="224">
        <f>SUM(Q40:Q40)</f>
        <v>75</v>
      </c>
      <c r="R41" s="142"/>
      <c r="S41" s="225">
        <f>SUM(S40:S40)</f>
        <v>10</v>
      </c>
      <c r="T41" s="142"/>
      <c r="U41" s="168">
        <f t="shared" ref="U41:AK41" si="15">SUM(U40:U40)</f>
        <v>8.75</v>
      </c>
      <c r="V41" s="168">
        <f t="shared" si="15"/>
        <v>0</v>
      </c>
      <c r="W41" s="168">
        <f t="shared" si="15"/>
        <v>1.25</v>
      </c>
      <c r="X41" s="168">
        <f t="shared" si="15"/>
        <v>2.016</v>
      </c>
      <c r="Y41" s="168">
        <f t="shared" si="15"/>
        <v>0</v>
      </c>
      <c r="Z41" s="168">
        <f t="shared" si="15"/>
        <v>0</v>
      </c>
      <c r="AA41" s="168">
        <f t="shared" si="15"/>
        <v>2.016</v>
      </c>
      <c r="AB41" s="156">
        <f t="shared" si="1"/>
        <v>2.6879999999999997</v>
      </c>
      <c r="AC41" s="168">
        <f t="shared" si="15"/>
        <v>0</v>
      </c>
      <c r="AD41" s="168">
        <f t="shared" si="15"/>
        <v>0</v>
      </c>
      <c r="AE41" s="168">
        <f t="shared" si="15"/>
        <v>0</v>
      </c>
      <c r="AF41" s="168">
        <f t="shared" si="15"/>
        <v>0</v>
      </c>
      <c r="AG41" s="156">
        <f t="shared" si="0"/>
        <v>0</v>
      </c>
      <c r="AH41" s="226"/>
      <c r="AI41" s="226">
        <f t="shared" si="15"/>
        <v>2.016</v>
      </c>
      <c r="AJ41" s="226">
        <f t="shared" si="15"/>
        <v>0</v>
      </c>
      <c r="AK41" s="226">
        <f t="shared" si="15"/>
        <v>2.016</v>
      </c>
      <c r="AL41" s="186"/>
      <c r="AM41" s="186"/>
    </row>
    <row r="42" spans="1:64" s="229" customFormat="1" ht="25.9" customHeight="1">
      <c r="A42" s="174"/>
      <c r="B42" s="175" t="s">
        <v>281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>
        <f>Q41+Q38+Q33</f>
        <v>39435.760000000002</v>
      </c>
      <c r="R42" s="176"/>
      <c r="S42" s="166">
        <f>S41+S38+S33</f>
        <v>8455.77</v>
      </c>
      <c r="T42" s="174"/>
      <c r="U42" s="166">
        <f t="shared" ref="U42:AK42" si="16">U41+U38+U33</f>
        <v>7490.87</v>
      </c>
      <c r="V42" s="166">
        <f t="shared" si="16"/>
        <v>0</v>
      </c>
      <c r="W42" s="166">
        <f t="shared" si="16"/>
        <v>964.9</v>
      </c>
      <c r="X42" s="166">
        <f t="shared" si="16"/>
        <v>3269.6260000000002</v>
      </c>
      <c r="Y42" s="166">
        <f t="shared" si="16"/>
        <v>0</v>
      </c>
      <c r="Z42" s="166">
        <f t="shared" si="16"/>
        <v>693.0100000000001</v>
      </c>
      <c r="AA42" s="166">
        <f>AA41+AA38+AA33</f>
        <v>3962.636</v>
      </c>
      <c r="AB42" s="178">
        <f t="shared" si="1"/>
        <v>10.048331767918254</v>
      </c>
      <c r="AC42" s="166">
        <f t="shared" si="16"/>
        <v>2735.51</v>
      </c>
      <c r="AD42" s="166">
        <f t="shared" si="16"/>
        <v>0</v>
      </c>
      <c r="AE42" s="166">
        <f t="shared" si="16"/>
        <v>505.70000000000005</v>
      </c>
      <c r="AF42" s="166">
        <f t="shared" si="16"/>
        <v>3241.21</v>
      </c>
      <c r="AG42" s="178">
        <f t="shared" si="0"/>
        <v>8.218961673364479</v>
      </c>
      <c r="AH42" s="178"/>
      <c r="AI42" s="161">
        <f t="shared" si="16"/>
        <v>368.10300000000001</v>
      </c>
      <c r="AJ42" s="161">
        <f t="shared" si="16"/>
        <v>0</v>
      </c>
      <c r="AK42" s="161">
        <f t="shared" si="16"/>
        <v>368.10300000000001</v>
      </c>
      <c r="AL42" s="227"/>
      <c r="AM42" s="227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</row>
    <row r="43" spans="1:64" s="129" customFormat="1" ht="35.450000000000003" customHeight="1">
      <c r="A43" s="142" t="s">
        <v>282</v>
      </c>
      <c r="B43" s="146" t="s">
        <v>283</v>
      </c>
      <c r="C43" s="184" t="s">
        <v>284</v>
      </c>
      <c r="D43" s="184"/>
      <c r="E43" s="142"/>
      <c r="F43" s="142"/>
      <c r="G43" s="142"/>
      <c r="H43" s="142"/>
      <c r="I43" s="139"/>
      <c r="J43" s="186"/>
      <c r="K43" s="187"/>
      <c r="L43" s="138"/>
      <c r="M43" s="138"/>
      <c r="N43" s="138"/>
      <c r="O43" s="138"/>
      <c r="P43" s="138"/>
      <c r="Q43" s="163"/>
      <c r="R43" s="138"/>
      <c r="S43" s="141"/>
      <c r="T43" s="142"/>
      <c r="U43" s="154"/>
      <c r="V43" s="154"/>
      <c r="W43" s="154"/>
      <c r="X43" s="171"/>
      <c r="Y43" s="171"/>
      <c r="Z43" s="155"/>
      <c r="AA43" s="155"/>
      <c r="AB43" s="156"/>
      <c r="AC43" s="154"/>
      <c r="AD43" s="154"/>
      <c r="AE43" s="154"/>
      <c r="AF43" s="155"/>
      <c r="AG43" s="156"/>
      <c r="AH43" s="193"/>
      <c r="AI43" s="195"/>
      <c r="AJ43" s="195"/>
      <c r="AK43" s="193">
        <f t="shared" si="8"/>
        <v>0</v>
      </c>
      <c r="AL43" s="193"/>
      <c r="AM43" s="193"/>
    </row>
    <row r="44" spans="1:64" s="129" customFormat="1" ht="23.25" customHeight="1">
      <c r="A44" s="142"/>
      <c r="B44" s="146" t="s">
        <v>212</v>
      </c>
      <c r="C44" s="142"/>
      <c r="D44" s="142"/>
      <c r="E44" s="142"/>
      <c r="F44" s="142"/>
      <c r="G44" s="142"/>
      <c r="H44" s="142"/>
      <c r="I44" s="139"/>
      <c r="J44" s="186"/>
      <c r="K44" s="187"/>
      <c r="L44" s="138"/>
      <c r="M44" s="138"/>
      <c r="N44" s="138"/>
      <c r="O44" s="138"/>
      <c r="P44" s="138"/>
      <c r="Q44" s="163"/>
      <c r="R44" s="138"/>
      <c r="S44" s="141"/>
      <c r="T44" s="142"/>
      <c r="U44" s="154"/>
      <c r="V44" s="154"/>
      <c r="W44" s="154"/>
      <c r="X44" s="171"/>
      <c r="Y44" s="171"/>
      <c r="Z44" s="155"/>
      <c r="AA44" s="155"/>
      <c r="AB44" s="156"/>
      <c r="AC44" s="155"/>
      <c r="AD44" s="155"/>
      <c r="AE44" s="155"/>
      <c r="AF44" s="155"/>
      <c r="AG44" s="156"/>
      <c r="AH44" s="193"/>
      <c r="AI44" s="195"/>
      <c r="AJ44" s="195"/>
      <c r="AK44" s="193">
        <f t="shared" si="8"/>
        <v>0</v>
      </c>
      <c r="AL44" s="193"/>
      <c r="AM44" s="193"/>
    </row>
    <row r="45" spans="1:64" s="234" customFormat="1" ht="26.65" customHeight="1">
      <c r="A45" s="230"/>
      <c r="B45" s="206" t="s">
        <v>285</v>
      </c>
      <c r="C45" s="142"/>
      <c r="D45" s="142"/>
      <c r="E45" s="142" t="s">
        <v>256</v>
      </c>
      <c r="F45" s="231" t="s">
        <v>98</v>
      </c>
      <c r="G45" s="231" t="s">
        <v>286</v>
      </c>
      <c r="H45" s="231">
        <v>6941</v>
      </c>
      <c r="I45" s="232">
        <v>135</v>
      </c>
      <c r="J45" s="206"/>
      <c r="K45" s="223" t="s">
        <v>274</v>
      </c>
      <c r="L45" s="195"/>
      <c r="M45" s="144"/>
      <c r="N45" s="144"/>
      <c r="O45" s="144"/>
      <c r="P45" s="144"/>
      <c r="Q45" s="233">
        <v>25</v>
      </c>
      <c r="R45" s="142"/>
      <c r="S45" s="225">
        <v>0</v>
      </c>
      <c r="T45" s="142" t="s">
        <v>1</v>
      </c>
      <c r="U45" s="154">
        <v>0</v>
      </c>
      <c r="V45" s="154">
        <v>0</v>
      </c>
      <c r="W45" s="154">
        <v>0</v>
      </c>
      <c r="X45" s="171">
        <f t="shared" si="9"/>
        <v>0</v>
      </c>
      <c r="Y45" s="171">
        <v>0</v>
      </c>
      <c r="Z45" s="155">
        <f t="shared" si="10"/>
        <v>0</v>
      </c>
      <c r="AA45" s="155">
        <f t="shared" si="7"/>
        <v>0</v>
      </c>
      <c r="AB45" s="156">
        <f t="shared" si="1"/>
        <v>0</v>
      </c>
      <c r="AC45" s="155">
        <v>0</v>
      </c>
      <c r="AD45" s="155">
        <v>0</v>
      </c>
      <c r="AE45" s="155">
        <v>0</v>
      </c>
      <c r="AF45" s="155">
        <f t="shared" si="11"/>
        <v>0</v>
      </c>
      <c r="AG45" s="156">
        <f t="shared" si="0"/>
        <v>0</v>
      </c>
      <c r="AH45" s="195"/>
      <c r="AI45" s="195"/>
      <c r="AJ45" s="195"/>
      <c r="AK45" s="193">
        <f t="shared" si="8"/>
        <v>0</v>
      </c>
      <c r="AL45" s="195"/>
      <c r="AM45" s="195"/>
      <c r="AN45" s="129"/>
      <c r="AO45" s="129"/>
    </row>
    <row r="46" spans="1:64" s="129" customFormat="1" ht="25.5">
      <c r="A46" s="235"/>
      <c r="B46" s="172" t="s">
        <v>287</v>
      </c>
      <c r="C46" s="142"/>
      <c r="D46" s="142"/>
      <c r="E46" s="142" t="s">
        <v>241</v>
      </c>
      <c r="F46" s="142" t="s">
        <v>267</v>
      </c>
      <c r="G46" s="142" t="s">
        <v>288</v>
      </c>
      <c r="H46" s="142">
        <v>7031</v>
      </c>
      <c r="I46" s="139">
        <v>20</v>
      </c>
      <c r="J46" s="138"/>
      <c r="K46" s="140">
        <v>9</v>
      </c>
      <c r="L46" s="142"/>
      <c r="M46" s="139">
        <v>0</v>
      </c>
      <c r="N46" s="204">
        <f>M46/I46</f>
        <v>0</v>
      </c>
      <c r="O46" s="139">
        <v>0</v>
      </c>
      <c r="P46" s="204">
        <f>O46/I46</f>
        <v>0</v>
      </c>
      <c r="Q46" s="192">
        <f>I46*62.7</f>
        <v>1254</v>
      </c>
      <c r="R46" s="138"/>
      <c r="S46" s="141">
        <v>590.80999999999995</v>
      </c>
      <c r="T46" s="142" t="s">
        <v>244</v>
      </c>
      <c r="U46" s="154">
        <f>S46-W46</f>
        <v>496.28</v>
      </c>
      <c r="V46" s="154">
        <v>0</v>
      </c>
      <c r="W46" s="154">
        <v>94.53</v>
      </c>
      <c r="X46" s="171">
        <f t="shared" si="9"/>
        <v>0</v>
      </c>
      <c r="Y46" s="171">
        <v>0</v>
      </c>
      <c r="Z46" s="155">
        <v>0</v>
      </c>
      <c r="AA46" s="155">
        <f t="shared" si="7"/>
        <v>0</v>
      </c>
      <c r="AB46" s="156">
        <f t="shared" si="1"/>
        <v>0</v>
      </c>
      <c r="AC46" s="155">
        <v>0</v>
      </c>
      <c r="AD46" s="155">
        <v>0</v>
      </c>
      <c r="AE46" s="155">
        <v>0</v>
      </c>
      <c r="AF46" s="155">
        <f t="shared" si="11"/>
        <v>0</v>
      </c>
      <c r="AG46" s="156">
        <f t="shared" si="0"/>
        <v>0</v>
      </c>
      <c r="AH46" s="193"/>
      <c r="AI46" s="186"/>
      <c r="AJ46" s="186">
        <v>185</v>
      </c>
      <c r="AK46" s="193">
        <f t="shared" si="8"/>
        <v>185</v>
      </c>
      <c r="AL46" s="193"/>
      <c r="AM46" s="193"/>
    </row>
    <row r="47" spans="1:64" s="129" customFormat="1" ht="25.5">
      <c r="A47" s="157"/>
      <c r="B47" s="172" t="s">
        <v>289</v>
      </c>
      <c r="C47" s="142"/>
      <c r="D47" s="142"/>
      <c r="E47" s="142" t="s">
        <v>241</v>
      </c>
      <c r="F47" s="142" t="s">
        <v>267</v>
      </c>
      <c r="G47" s="142" t="s">
        <v>290</v>
      </c>
      <c r="H47" s="142">
        <v>7031</v>
      </c>
      <c r="I47" s="139">
        <v>100</v>
      </c>
      <c r="J47" s="138"/>
      <c r="K47" s="140">
        <v>20</v>
      </c>
      <c r="L47" s="142"/>
      <c r="M47" s="139">
        <v>0</v>
      </c>
      <c r="N47" s="204">
        <f>M47/I47</f>
        <v>0</v>
      </c>
      <c r="O47" s="236">
        <v>0</v>
      </c>
      <c r="P47" s="204">
        <f>O47/I47</f>
        <v>0</v>
      </c>
      <c r="Q47" s="192">
        <f>I47*41.77</f>
        <v>4177</v>
      </c>
      <c r="R47" s="138"/>
      <c r="S47" s="141">
        <v>835.4</v>
      </c>
      <c r="T47" s="142" t="s">
        <v>244</v>
      </c>
      <c r="U47" s="154">
        <f t="shared" ref="U47:U54" si="17">S47-W47</f>
        <v>735.15</v>
      </c>
      <c r="V47" s="154">
        <v>0</v>
      </c>
      <c r="W47" s="154">
        <v>100.25</v>
      </c>
      <c r="X47" s="210">
        <f t="shared" si="9"/>
        <v>18</v>
      </c>
      <c r="Y47" s="171">
        <v>0</v>
      </c>
      <c r="Z47" s="211">
        <v>0</v>
      </c>
      <c r="AA47" s="211">
        <f t="shared" si="7"/>
        <v>18</v>
      </c>
      <c r="AB47" s="212">
        <f t="shared" si="1"/>
        <v>0.43093129039980849</v>
      </c>
      <c r="AC47" s="237">
        <v>18</v>
      </c>
      <c r="AD47" s="155">
        <v>0</v>
      </c>
      <c r="AE47" s="237">
        <v>0</v>
      </c>
      <c r="AF47" s="211">
        <f t="shared" si="11"/>
        <v>18</v>
      </c>
      <c r="AG47" s="212">
        <f t="shared" si="0"/>
        <v>0.43093129039980849</v>
      </c>
      <c r="AH47" s="238"/>
      <c r="AI47" s="186"/>
      <c r="AJ47" s="186"/>
      <c r="AK47" s="193">
        <f t="shared" si="8"/>
        <v>0</v>
      </c>
      <c r="AL47" s="193"/>
      <c r="AM47" s="193"/>
    </row>
    <row r="48" spans="1:64" s="129" customFormat="1" ht="25.5">
      <c r="A48" s="157"/>
      <c r="B48" s="172" t="s">
        <v>291</v>
      </c>
      <c r="C48" s="142"/>
      <c r="D48" s="142"/>
      <c r="E48" s="142" t="s">
        <v>241</v>
      </c>
      <c r="F48" s="142" t="s">
        <v>267</v>
      </c>
      <c r="G48" s="142" t="s">
        <v>292</v>
      </c>
      <c r="H48" s="142">
        <v>7031</v>
      </c>
      <c r="I48" s="139">
        <v>15</v>
      </c>
      <c r="J48" s="138"/>
      <c r="K48" s="140">
        <v>5</v>
      </c>
      <c r="L48" s="142"/>
      <c r="M48" s="138">
        <v>0</v>
      </c>
      <c r="N48" s="191">
        <v>0</v>
      </c>
      <c r="O48" s="138">
        <v>0</v>
      </c>
      <c r="P48" s="191">
        <v>0</v>
      </c>
      <c r="Q48" s="203">
        <v>391.7</v>
      </c>
      <c r="R48" s="138"/>
      <c r="S48" s="141">
        <v>140.55000000000001</v>
      </c>
      <c r="T48" s="142" t="s">
        <v>244</v>
      </c>
      <c r="U48" s="154">
        <f t="shared" si="17"/>
        <v>106.82000000000002</v>
      </c>
      <c r="V48" s="154">
        <v>0</v>
      </c>
      <c r="W48" s="154">
        <v>33.729999999999997</v>
      </c>
      <c r="X48" s="171">
        <f t="shared" si="9"/>
        <v>0</v>
      </c>
      <c r="Y48" s="171">
        <v>0</v>
      </c>
      <c r="Z48" s="155">
        <f t="shared" si="10"/>
        <v>0</v>
      </c>
      <c r="AA48" s="155">
        <f t="shared" si="7"/>
        <v>0</v>
      </c>
      <c r="AB48" s="156">
        <f t="shared" si="1"/>
        <v>0</v>
      </c>
      <c r="AC48" s="154">
        <v>0</v>
      </c>
      <c r="AD48" s="155">
        <v>0</v>
      </c>
      <c r="AE48" s="154">
        <v>0</v>
      </c>
      <c r="AF48" s="155">
        <f t="shared" si="11"/>
        <v>0</v>
      </c>
      <c r="AG48" s="156">
        <f t="shared" si="0"/>
        <v>0</v>
      </c>
      <c r="AH48" s="193"/>
      <c r="AI48" s="186"/>
      <c r="AJ48" s="186"/>
      <c r="AK48" s="193">
        <f t="shared" si="8"/>
        <v>0</v>
      </c>
      <c r="AL48" s="193"/>
      <c r="AM48" s="193"/>
    </row>
    <row r="49" spans="1:64" s="129" customFormat="1" ht="25.5">
      <c r="A49" s="157"/>
      <c r="B49" s="172" t="s">
        <v>293</v>
      </c>
      <c r="C49" s="142"/>
      <c r="D49" s="142"/>
      <c r="E49" s="142" t="s">
        <v>256</v>
      </c>
      <c r="F49" s="142" t="s">
        <v>267</v>
      </c>
      <c r="G49" s="142" t="s">
        <v>294</v>
      </c>
      <c r="H49" s="142">
        <v>7031</v>
      </c>
      <c r="I49" s="139">
        <v>35</v>
      </c>
      <c r="J49" s="138"/>
      <c r="K49" s="140">
        <v>5</v>
      </c>
      <c r="L49" s="142"/>
      <c r="M49" s="138">
        <v>0</v>
      </c>
      <c r="N49" s="191">
        <v>0</v>
      </c>
      <c r="O49" s="138">
        <v>0</v>
      </c>
      <c r="P49" s="191">
        <v>0</v>
      </c>
      <c r="Q49" s="170">
        <f>I49*15.67</f>
        <v>548.45000000000005</v>
      </c>
      <c r="R49" s="138"/>
      <c r="S49" s="141">
        <v>78.349999999999994</v>
      </c>
      <c r="T49" s="142" t="s">
        <v>244</v>
      </c>
      <c r="U49" s="154">
        <f t="shared" si="17"/>
        <v>68.949999999999989</v>
      </c>
      <c r="V49" s="154">
        <v>0</v>
      </c>
      <c r="W49" s="154">
        <v>9.4</v>
      </c>
      <c r="X49" s="171">
        <f t="shared" si="9"/>
        <v>0</v>
      </c>
      <c r="Y49" s="171">
        <v>0</v>
      </c>
      <c r="Z49" s="155">
        <f t="shared" si="10"/>
        <v>0</v>
      </c>
      <c r="AA49" s="155">
        <f t="shared" si="7"/>
        <v>0</v>
      </c>
      <c r="AB49" s="156">
        <f t="shared" si="1"/>
        <v>0</v>
      </c>
      <c r="AC49" s="154">
        <v>0</v>
      </c>
      <c r="AD49" s="155">
        <v>0</v>
      </c>
      <c r="AE49" s="154">
        <v>0</v>
      </c>
      <c r="AF49" s="155">
        <f t="shared" si="11"/>
        <v>0</v>
      </c>
      <c r="AG49" s="156">
        <f t="shared" si="0"/>
        <v>0</v>
      </c>
      <c r="AH49" s="193"/>
      <c r="AI49" s="186"/>
      <c r="AJ49" s="186"/>
      <c r="AK49" s="193">
        <f t="shared" si="8"/>
        <v>0</v>
      </c>
      <c r="AL49" s="193"/>
      <c r="AM49" s="193"/>
    </row>
    <row r="50" spans="1:64" s="241" customFormat="1" ht="34.5" customHeight="1">
      <c r="A50" s="157"/>
      <c r="B50" s="239" t="s">
        <v>295</v>
      </c>
      <c r="C50" s="142"/>
      <c r="D50" s="142"/>
      <c r="E50" s="142" t="s">
        <v>296</v>
      </c>
      <c r="F50" s="142" t="s">
        <v>297</v>
      </c>
      <c r="G50" s="142" t="s">
        <v>298</v>
      </c>
      <c r="H50" s="142" t="s">
        <v>299</v>
      </c>
      <c r="I50" s="139">
        <v>310</v>
      </c>
      <c r="J50" s="138"/>
      <c r="K50" s="140">
        <v>67</v>
      </c>
      <c r="L50" s="142"/>
      <c r="M50" s="138">
        <v>3</v>
      </c>
      <c r="N50" s="204">
        <f>M50/I50</f>
        <v>9.6774193548387101E-3</v>
      </c>
      <c r="O50" s="138">
        <v>3</v>
      </c>
      <c r="P50" s="204">
        <f>O50/I50</f>
        <v>9.6774193548387101E-3</v>
      </c>
      <c r="Q50" s="240">
        <v>327.25</v>
      </c>
      <c r="R50" s="138"/>
      <c r="S50" s="141">
        <v>98</v>
      </c>
      <c r="T50" s="142" t="s">
        <v>261</v>
      </c>
      <c r="U50" s="154">
        <f t="shared" si="17"/>
        <v>85.75</v>
      </c>
      <c r="V50" s="154">
        <v>0</v>
      </c>
      <c r="W50" s="154">
        <v>12.25</v>
      </c>
      <c r="X50" s="171">
        <f t="shared" si="9"/>
        <v>1.17</v>
      </c>
      <c r="Y50" s="171">
        <v>0</v>
      </c>
      <c r="Z50" s="155">
        <f t="shared" si="10"/>
        <v>0</v>
      </c>
      <c r="AA50" s="155">
        <f t="shared" si="7"/>
        <v>1.17</v>
      </c>
      <c r="AB50" s="156">
        <f t="shared" si="1"/>
        <v>0.35752482811306341</v>
      </c>
      <c r="AC50" s="154">
        <v>1.17</v>
      </c>
      <c r="AD50" s="155">
        <v>0</v>
      </c>
      <c r="AE50" s="154">
        <v>0</v>
      </c>
      <c r="AF50" s="155">
        <f t="shared" si="11"/>
        <v>1.17</v>
      </c>
      <c r="AG50" s="156">
        <f t="shared" si="0"/>
        <v>0.35752482811306341</v>
      </c>
      <c r="AH50" s="193"/>
      <c r="AI50" s="186"/>
      <c r="AJ50" s="186"/>
      <c r="AK50" s="193">
        <f t="shared" si="8"/>
        <v>0</v>
      </c>
      <c r="AL50" s="193"/>
      <c r="AM50" s="193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</row>
    <row r="51" spans="1:64" s="129" customFormat="1" ht="25.5">
      <c r="A51" s="157"/>
      <c r="B51" s="239" t="s">
        <v>300</v>
      </c>
      <c r="C51" s="142"/>
      <c r="D51" s="142"/>
      <c r="E51" s="142" t="s">
        <v>256</v>
      </c>
      <c r="F51" s="142" t="s">
        <v>301</v>
      </c>
      <c r="G51" s="142" t="s">
        <v>302</v>
      </c>
      <c r="H51" s="142">
        <v>4840</v>
      </c>
      <c r="I51" s="139">
        <v>25</v>
      </c>
      <c r="J51" s="138"/>
      <c r="K51" s="140">
        <v>13</v>
      </c>
      <c r="L51" s="142"/>
      <c r="M51" s="138">
        <v>0</v>
      </c>
      <c r="N51" s="191">
        <v>0</v>
      </c>
      <c r="O51" s="138">
        <v>0</v>
      </c>
      <c r="P51" s="191">
        <v>0</v>
      </c>
      <c r="Q51" s="170">
        <v>12.5</v>
      </c>
      <c r="R51" s="138"/>
      <c r="S51" s="141">
        <v>7.5</v>
      </c>
      <c r="T51" s="142" t="s">
        <v>261</v>
      </c>
      <c r="U51" s="154">
        <f t="shared" si="17"/>
        <v>6.5600000000000005</v>
      </c>
      <c r="V51" s="154">
        <v>0</v>
      </c>
      <c r="W51" s="154">
        <v>0.94</v>
      </c>
      <c r="X51" s="171">
        <f t="shared" si="9"/>
        <v>0</v>
      </c>
      <c r="Y51" s="171">
        <v>0</v>
      </c>
      <c r="Z51" s="155">
        <f t="shared" si="10"/>
        <v>0</v>
      </c>
      <c r="AA51" s="155">
        <f t="shared" si="7"/>
        <v>0</v>
      </c>
      <c r="AB51" s="156">
        <f t="shared" si="1"/>
        <v>0</v>
      </c>
      <c r="AC51" s="154">
        <v>0</v>
      </c>
      <c r="AD51" s="155">
        <v>0</v>
      </c>
      <c r="AE51" s="154">
        <v>0</v>
      </c>
      <c r="AF51" s="155">
        <f t="shared" si="11"/>
        <v>0</v>
      </c>
      <c r="AG51" s="156">
        <f t="shared" si="0"/>
        <v>0</v>
      </c>
      <c r="AH51" s="193"/>
      <c r="AI51" s="186"/>
      <c r="AJ51" s="186"/>
      <c r="AK51" s="193">
        <f t="shared" si="8"/>
        <v>0</v>
      </c>
      <c r="AL51" s="193"/>
      <c r="AM51" s="193"/>
    </row>
    <row r="52" spans="1:64" s="129" customFormat="1" ht="25.5">
      <c r="A52" s="157"/>
      <c r="B52" s="239" t="s">
        <v>303</v>
      </c>
      <c r="C52" s="142"/>
      <c r="D52" s="142"/>
      <c r="E52" s="142" t="s">
        <v>256</v>
      </c>
      <c r="F52" s="142" t="s">
        <v>304</v>
      </c>
      <c r="G52" s="142" t="s">
        <v>305</v>
      </c>
      <c r="H52" s="142">
        <v>4840</v>
      </c>
      <c r="I52" s="139">
        <v>200</v>
      </c>
      <c r="J52" s="138"/>
      <c r="K52" s="140">
        <v>50</v>
      </c>
      <c r="L52" s="142"/>
      <c r="M52" s="138">
        <v>3</v>
      </c>
      <c r="N52" s="204">
        <f>M52/I52</f>
        <v>1.4999999999999999E-2</v>
      </c>
      <c r="O52" s="138">
        <v>3</v>
      </c>
      <c r="P52" s="204">
        <f>O52/I52</f>
        <v>1.4999999999999999E-2</v>
      </c>
      <c r="Q52" s="170">
        <v>100</v>
      </c>
      <c r="R52" s="138"/>
      <c r="S52" s="141">
        <v>24.27</v>
      </c>
      <c r="T52" s="142" t="s">
        <v>261</v>
      </c>
      <c r="U52" s="154">
        <f t="shared" si="17"/>
        <v>21.24</v>
      </c>
      <c r="V52" s="154">
        <v>0</v>
      </c>
      <c r="W52" s="154">
        <v>3.03</v>
      </c>
      <c r="X52" s="171">
        <f t="shared" si="9"/>
        <v>2.09</v>
      </c>
      <c r="Y52" s="171">
        <v>0</v>
      </c>
      <c r="Z52" s="155">
        <f t="shared" si="10"/>
        <v>0</v>
      </c>
      <c r="AA52" s="155">
        <f t="shared" si="7"/>
        <v>2.09</v>
      </c>
      <c r="AB52" s="156">
        <f t="shared" si="1"/>
        <v>2.09</v>
      </c>
      <c r="AC52" s="154">
        <v>2.09</v>
      </c>
      <c r="AD52" s="155">
        <v>0</v>
      </c>
      <c r="AE52" s="154">
        <v>0</v>
      </c>
      <c r="AF52" s="155">
        <f t="shared" ref="AF52" si="18">SUM(AC52:AE52)</f>
        <v>2.09</v>
      </c>
      <c r="AG52" s="156">
        <f t="shared" si="0"/>
        <v>2.09</v>
      </c>
      <c r="AH52" s="193"/>
      <c r="AI52" s="186"/>
      <c r="AJ52" s="186"/>
      <c r="AK52" s="193">
        <f t="shared" si="8"/>
        <v>0</v>
      </c>
      <c r="AL52" s="193"/>
      <c r="AM52" s="193"/>
    </row>
    <row r="53" spans="1:64" s="129" customFormat="1" ht="25.5">
      <c r="A53" s="157"/>
      <c r="B53" s="239" t="s">
        <v>306</v>
      </c>
      <c r="C53" s="142"/>
      <c r="D53" s="142"/>
      <c r="E53" s="142" t="s">
        <v>256</v>
      </c>
      <c r="F53" s="142" t="s">
        <v>304</v>
      </c>
      <c r="G53" s="142" t="s">
        <v>307</v>
      </c>
      <c r="H53" s="142">
        <v>4840</v>
      </c>
      <c r="I53" s="139">
        <v>17</v>
      </c>
      <c r="J53" s="138"/>
      <c r="K53" s="140">
        <v>4</v>
      </c>
      <c r="L53" s="142"/>
      <c r="M53" s="138">
        <v>0</v>
      </c>
      <c r="N53" s="191">
        <v>0</v>
      </c>
      <c r="O53" s="138">
        <v>0</v>
      </c>
      <c r="P53" s="191">
        <v>0</v>
      </c>
      <c r="Q53" s="170">
        <v>2.5</v>
      </c>
      <c r="R53" s="138"/>
      <c r="S53" s="141">
        <v>1.06</v>
      </c>
      <c r="T53" s="142" t="s">
        <v>261</v>
      </c>
      <c r="U53" s="154">
        <f t="shared" si="17"/>
        <v>0.93</v>
      </c>
      <c r="V53" s="154">
        <v>0</v>
      </c>
      <c r="W53" s="154">
        <v>0.13</v>
      </c>
      <c r="X53" s="171">
        <f t="shared" si="9"/>
        <v>0</v>
      </c>
      <c r="Y53" s="171">
        <v>0</v>
      </c>
      <c r="Z53" s="155">
        <f t="shared" si="10"/>
        <v>0</v>
      </c>
      <c r="AA53" s="155">
        <f t="shared" si="7"/>
        <v>0</v>
      </c>
      <c r="AB53" s="156">
        <f t="shared" si="1"/>
        <v>0</v>
      </c>
      <c r="AC53" s="154">
        <v>0</v>
      </c>
      <c r="AD53" s="155">
        <v>0</v>
      </c>
      <c r="AE53" s="154">
        <v>0</v>
      </c>
      <c r="AF53" s="155">
        <f t="shared" si="11"/>
        <v>0</v>
      </c>
      <c r="AG53" s="156">
        <f t="shared" si="0"/>
        <v>0</v>
      </c>
      <c r="AH53" s="193"/>
      <c r="AI53" s="186"/>
      <c r="AJ53" s="186"/>
      <c r="AK53" s="193">
        <f t="shared" si="8"/>
        <v>0</v>
      </c>
      <c r="AL53" s="193"/>
      <c r="AM53" s="193"/>
    </row>
    <row r="54" spans="1:64" s="129" customFormat="1" ht="25.5">
      <c r="A54" s="157"/>
      <c r="B54" s="239" t="s">
        <v>308</v>
      </c>
      <c r="C54" s="142"/>
      <c r="D54" s="142"/>
      <c r="E54" s="142" t="s">
        <v>256</v>
      </c>
      <c r="F54" s="142" t="s">
        <v>304</v>
      </c>
      <c r="G54" s="142" t="s">
        <v>309</v>
      </c>
      <c r="H54" s="142">
        <v>4840</v>
      </c>
      <c r="I54" s="139">
        <v>200</v>
      </c>
      <c r="J54" s="138"/>
      <c r="K54" s="140">
        <v>28</v>
      </c>
      <c r="L54" s="142"/>
      <c r="M54" s="138">
        <v>0</v>
      </c>
      <c r="N54" s="191">
        <v>0</v>
      </c>
      <c r="O54" s="138">
        <v>0</v>
      </c>
      <c r="P54" s="191">
        <v>0</v>
      </c>
      <c r="Q54" s="170">
        <v>100</v>
      </c>
      <c r="R54" s="138"/>
      <c r="S54" s="141">
        <v>24.27</v>
      </c>
      <c r="T54" s="142" t="s">
        <v>261</v>
      </c>
      <c r="U54" s="154">
        <f t="shared" si="17"/>
        <v>21.24</v>
      </c>
      <c r="V54" s="154">
        <v>0</v>
      </c>
      <c r="W54" s="154">
        <v>3.03</v>
      </c>
      <c r="X54" s="171">
        <f t="shared" si="9"/>
        <v>0</v>
      </c>
      <c r="Y54" s="171">
        <v>0</v>
      </c>
      <c r="Z54" s="155">
        <f t="shared" si="10"/>
        <v>0</v>
      </c>
      <c r="AA54" s="155">
        <f t="shared" si="7"/>
        <v>0</v>
      </c>
      <c r="AB54" s="156">
        <f t="shared" si="1"/>
        <v>0</v>
      </c>
      <c r="AC54" s="154">
        <v>0</v>
      </c>
      <c r="AD54" s="155">
        <v>0</v>
      </c>
      <c r="AE54" s="154">
        <v>0</v>
      </c>
      <c r="AF54" s="155">
        <f t="shared" si="11"/>
        <v>0</v>
      </c>
      <c r="AG54" s="156">
        <f t="shared" si="0"/>
        <v>0</v>
      </c>
      <c r="AH54" s="193"/>
      <c r="AI54" s="186"/>
      <c r="AJ54" s="186"/>
      <c r="AK54" s="193">
        <f t="shared" si="8"/>
        <v>0</v>
      </c>
      <c r="AL54" s="193"/>
      <c r="AM54" s="193"/>
    </row>
    <row r="55" spans="1:64" s="129" customFormat="1" ht="18.75" customHeight="1">
      <c r="A55" s="173"/>
      <c r="B55" s="242" t="s">
        <v>310</v>
      </c>
      <c r="C55" s="142"/>
      <c r="D55" s="142"/>
      <c r="E55" s="142"/>
      <c r="F55" s="142"/>
      <c r="G55" s="142"/>
      <c r="H55" s="142"/>
      <c r="I55" s="139"/>
      <c r="J55" s="138"/>
      <c r="K55" s="140"/>
      <c r="L55" s="142"/>
      <c r="M55" s="138"/>
      <c r="N55" s="191"/>
      <c r="O55" s="138"/>
      <c r="P55" s="191"/>
      <c r="Q55" s="159">
        <f>SUM(Q45:Q54)</f>
        <v>6938.4</v>
      </c>
      <c r="R55" s="138"/>
      <c r="S55" s="141">
        <f>SUM(S45:S54)</f>
        <v>1800.2099999999998</v>
      </c>
      <c r="T55" s="142"/>
      <c r="U55" s="160">
        <f t="shared" ref="U55:AM55" si="19">SUM(U45:U54)</f>
        <v>1542.9199999999998</v>
      </c>
      <c r="V55" s="160">
        <f t="shared" si="19"/>
        <v>0</v>
      </c>
      <c r="W55" s="160">
        <f t="shared" si="19"/>
        <v>257.28999999999996</v>
      </c>
      <c r="X55" s="160">
        <f t="shared" si="19"/>
        <v>21.26</v>
      </c>
      <c r="Y55" s="160">
        <f t="shared" si="19"/>
        <v>0</v>
      </c>
      <c r="Z55" s="160">
        <f t="shared" si="19"/>
        <v>0</v>
      </c>
      <c r="AA55" s="160">
        <f t="shared" si="19"/>
        <v>21.26</v>
      </c>
      <c r="AB55" s="156">
        <f t="shared" si="1"/>
        <v>0.3064106998731696</v>
      </c>
      <c r="AC55" s="160">
        <f t="shared" si="19"/>
        <v>21.26</v>
      </c>
      <c r="AD55" s="160">
        <f t="shared" si="19"/>
        <v>0</v>
      </c>
      <c r="AE55" s="160">
        <f t="shared" si="19"/>
        <v>0</v>
      </c>
      <c r="AF55" s="160">
        <f t="shared" si="19"/>
        <v>21.26</v>
      </c>
      <c r="AG55" s="156">
        <f t="shared" si="0"/>
        <v>0.3064106998731696</v>
      </c>
      <c r="AH55" s="161"/>
      <c r="AI55" s="161">
        <f t="shared" si="19"/>
        <v>0</v>
      </c>
      <c r="AJ55" s="161">
        <f t="shared" si="19"/>
        <v>185</v>
      </c>
      <c r="AK55" s="161">
        <f t="shared" si="19"/>
        <v>185</v>
      </c>
      <c r="AL55" s="161">
        <f t="shared" si="19"/>
        <v>0</v>
      </c>
      <c r="AM55" s="161">
        <f t="shared" si="19"/>
        <v>0</v>
      </c>
    </row>
    <row r="56" spans="1:64" s="247" customFormat="1" ht="21.75" customHeight="1">
      <c r="A56" s="243"/>
      <c r="B56" s="146" t="s">
        <v>219</v>
      </c>
      <c r="C56" s="131"/>
      <c r="D56" s="131"/>
      <c r="E56" s="131"/>
      <c r="F56" s="131"/>
      <c r="G56" s="131"/>
      <c r="H56" s="131"/>
      <c r="I56" s="158"/>
      <c r="J56" s="132"/>
      <c r="K56" s="140"/>
      <c r="L56" s="131"/>
      <c r="M56" s="132"/>
      <c r="N56" s="216"/>
      <c r="O56" s="132"/>
      <c r="P56" s="216"/>
      <c r="Q56" s="244"/>
      <c r="R56" s="138"/>
      <c r="S56" s="141"/>
      <c r="T56" s="131"/>
      <c r="U56" s="168"/>
      <c r="V56" s="168"/>
      <c r="W56" s="168"/>
      <c r="X56" s="171"/>
      <c r="Y56" s="171"/>
      <c r="Z56" s="155"/>
      <c r="AA56" s="155"/>
      <c r="AB56" s="156"/>
      <c r="AC56" s="160"/>
      <c r="AD56" s="160"/>
      <c r="AE56" s="160"/>
      <c r="AF56" s="155"/>
      <c r="AG56" s="156"/>
      <c r="AH56" s="245"/>
      <c r="AI56" s="215"/>
      <c r="AJ56" s="215"/>
      <c r="AK56" s="193">
        <f t="shared" si="8"/>
        <v>0</v>
      </c>
      <c r="AL56" s="245"/>
      <c r="AM56" s="245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</row>
    <row r="57" spans="1:64" s="247" customFormat="1" ht="15">
      <c r="A57" s="243"/>
      <c r="B57" s="146" t="s">
        <v>311</v>
      </c>
      <c r="C57" s="131"/>
      <c r="D57" s="131"/>
      <c r="E57" s="131"/>
      <c r="F57" s="131"/>
      <c r="G57" s="131"/>
      <c r="H57" s="131"/>
      <c r="I57" s="158">
        <v>0</v>
      </c>
      <c r="J57" s="132"/>
      <c r="K57" s="140">
        <v>0</v>
      </c>
      <c r="L57" s="131"/>
      <c r="M57" s="132">
        <v>0</v>
      </c>
      <c r="N57" s="216">
        <v>0</v>
      </c>
      <c r="O57" s="132">
        <v>0</v>
      </c>
      <c r="P57" s="216">
        <v>0</v>
      </c>
      <c r="Q57" s="218">
        <v>0</v>
      </c>
      <c r="R57" s="138"/>
      <c r="S57" s="141">
        <v>0</v>
      </c>
      <c r="T57" s="131"/>
      <c r="U57" s="154">
        <v>0</v>
      </c>
      <c r="V57" s="154">
        <v>0</v>
      </c>
      <c r="W57" s="154">
        <v>0</v>
      </c>
      <c r="X57" s="171">
        <f t="shared" si="9"/>
        <v>0</v>
      </c>
      <c r="Y57" s="171">
        <v>0</v>
      </c>
      <c r="Z57" s="155">
        <f t="shared" si="10"/>
        <v>0</v>
      </c>
      <c r="AA57" s="155">
        <f t="shared" si="7"/>
        <v>0</v>
      </c>
      <c r="AB57" s="156">
        <v>0</v>
      </c>
      <c r="AC57" s="171">
        <f t="shared" ref="AC57:AC58" si="20">AH57+AM57</f>
        <v>0</v>
      </c>
      <c r="AD57" s="155">
        <v>0</v>
      </c>
      <c r="AE57" s="171">
        <f t="shared" ref="AE57:AE58" si="21">AI57+AN57</f>
        <v>0</v>
      </c>
      <c r="AF57" s="155">
        <f t="shared" si="11"/>
        <v>0</v>
      </c>
      <c r="AG57" s="156">
        <v>0</v>
      </c>
      <c r="AH57" s="245"/>
      <c r="AI57" s="215"/>
      <c r="AJ57" s="215"/>
      <c r="AK57" s="193">
        <f t="shared" si="8"/>
        <v>0</v>
      </c>
      <c r="AL57" s="245"/>
      <c r="AM57" s="245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</row>
    <row r="58" spans="1:64" s="247" customFormat="1" ht="18.75" customHeight="1">
      <c r="A58" s="243"/>
      <c r="B58" s="169" t="s">
        <v>224</v>
      </c>
      <c r="C58" s="131"/>
      <c r="D58" s="131"/>
      <c r="E58" s="142"/>
      <c r="F58" s="142"/>
      <c r="G58" s="142"/>
      <c r="H58" s="142"/>
      <c r="I58" s="139">
        <v>0</v>
      </c>
      <c r="J58" s="138"/>
      <c r="K58" s="140">
        <v>0</v>
      </c>
      <c r="L58" s="131"/>
      <c r="M58" s="132">
        <v>0</v>
      </c>
      <c r="N58" s="191">
        <v>0</v>
      </c>
      <c r="O58" s="132">
        <v>0</v>
      </c>
      <c r="P58" s="191">
        <v>0</v>
      </c>
      <c r="Q58" s="248">
        <v>0</v>
      </c>
      <c r="R58" s="138"/>
      <c r="S58" s="141">
        <v>0</v>
      </c>
      <c r="T58" s="142"/>
      <c r="U58" s="154">
        <v>0</v>
      </c>
      <c r="V58" s="154">
        <v>0</v>
      </c>
      <c r="W58" s="154">
        <v>0</v>
      </c>
      <c r="X58" s="171">
        <f t="shared" si="9"/>
        <v>0</v>
      </c>
      <c r="Y58" s="171">
        <v>0</v>
      </c>
      <c r="Z58" s="155">
        <f t="shared" si="10"/>
        <v>0</v>
      </c>
      <c r="AA58" s="155">
        <f t="shared" si="7"/>
        <v>0</v>
      </c>
      <c r="AB58" s="156">
        <v>0</v>
      </c>
      <c r="AC58" s="171">
        <f t="shared" si="20"/>
        <v>0</v>
      </c>
      <c r="AD58" s="155">
        <v>0</v>
      </c>
      <c r="AE58" s="171">
        <f t="shared" si="21"/>
        <v>0</v>
      </c>
      <c r="AF58" s="155">
        <f t="shared" si="11"/>
        <v>0</v>
      </c>
      <c r="AG58" s="156">
        <v>0</v>
      </c>
      <c r="AH58" s="193"/>
      <c r="AI58" s="186"/>
      <c r="AJ58" s="186"/>
      <c r="AK58" s="193">
        <f t="shared" si="8"/>
        <v>0</v>
      </c>
      <c r="AL58" s="193"/>
      <c r="AM58" s="193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</row>
    <row r="59" spans="1:64" s="247" customFormat="1" ht="31.5" customHeight="1">
      <c r="A59" s="132"/>
      <c r="B59" s="169" t="s">
        <v>312</v>
      </c>
      <c r="C59" s="142"/>
      <c r="D59" s="142"/>
      <c r="E59" s="142"/>
      <c r="F59" s="142"/>
      <c r="G59" s="142"/>
      <c r="H59" s="142"/>
      <c r="I59" s="139"/>
      <c r="J59" s="138"/>
      <c r="K59" s="140"/>
      <c r="L59" s="142"/>
      <c r="M59" s="138"/>
      <c r="N59" s="191"/>
      <c r="O59" s="138"/>
      <c r="P59" s="191"/>
      <c r="Q59" s="170"/>
      <c r="R59" s="138"/>
      <c r="S59" s="141"/>
      <c r="T59" s="142"/>
      <c r="U59" s="154"/>
      <c r="V59" s="154"/>
      <c r="W59" s="154"/>
      <c r="X59" s="171"/>
      <c r="Y59" s="171"/>
      <c r="Z59" s="155"/>
      <c r="AA59" s="155"/>
      <c r="AB59" s="156"/>
      <c r="AC59" s="155"/>
      <c r="AD59" s="155"/>
      <c r="AE59" s="155"/>
      <c r="AF59" s="155"/>
      <c r="AG59" s="156"/>
      <c r="AH59" s="195"/>
      <c r="AI59" s="195"/>
      <c r="AJ59" s="195"/>
      <c r="AK59" s="193">
        <f t="shared" si="8"/>
        <v>0</v>
      </c>
      <c r="AL59" s="195"/>
      <c r="AM59" s="195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</row>
    <row r="60" spans="1:64" s="129" customFormat="1" ht="25.5">
      <c r="A60" s="249"/>
      <c r="B60" s="172" t="s">
        <v>313</v>
      </c>
      <c r="C60" s="131"/>
      <c r="D60" s="131"/>
      <c r="E60" s="142" t="s">
        <v>266</v>
      </c>
      <c r="F60" s="142" t="s">
        <v>314</v>
      </c>
      <c r="G60" s="142" t="s">
        <v>315</v>
      </c>
      <c r="H60" s="142" t="s">
        <v>316</v>
      </c>
      <c r="I60" s="139">
        <v>132</v>
      </c>
      <c r="J60" s="138"/>
      <c r="K60" s="140"/>
      <c r="L60" s="131"/>
      <c r="M60" s="132"/>
      <c r="N60" s="191"/>
      <c r="O60" s="132"/>
      <c r="P60" s="191"/>
      <c r="Q60" s="170">
        <v>230</v>
      </c>
      <c r="R60" s="138"/>
      <c r="S60" s="141">
        <v>44.5</v>
      </c>
      <c r="T60" s="142" t="s">
        <v>317</v>
      </c>
      <c r="U60" s="154">
        <f>S60-W60</f>
        <v>38.94</v>
      </c>
      <c r="V60" s="154">
        <v>0</v>
      </c>
      <c r="W60" s="154">
        <v>5.56</v>
      </c>
      <c r="X60" s="171">
        <f t="shared" si="9"/>
        <v>0</v>
      </c>
      <c r="Y60" s="171">
        <v>0</v>
      </c>
      <c r="Z60" s="155">
        <f t="shared" si="10"/>
        <v>0</v>
      </c>
      <c r="AA60" s="155">
        <f t="shared" si="7"/>
        <v>0</v>
      </c>
      <c r="AB60" s="156">
        <f t="shared" si="1"/>
        <v>0</v>
      </c>
      <c r="AC60" s="154">
        <v>0</v>
      </c>
      <c r="AD60" s="155">
        <v>0</v>
      </c>
      <c r="AE60" s="154">
        <v>0</v>
      </c>
      <c r="AF60" s="155">
        <f t="shared" si="11"/>
        <v>0</v>
      </c>
      <c r="AG60" s="156">
        <f t="shared" si="0"/>
        <v>0</v>
      </c>
      <c r="AH60" s="193"/>
      <c r="AI60" s="186"/>
      <c r="AJ60" s="186"/>
      <c r="AK60" s="193">
        <f t="shared" si="8"/>
        <v>0</v>
      </c>
      <c r="AL60" s="193"/>
      <c r="AM60" s="193"/>
    </row>
    <row r="61" spans="1:64" s="129" customFormat="1" ht="25.5">
      <c r="A61" s="196"/>
      <c r="B61" s="172" t="s">
        <v>318</v>
      </c>
      <c r="C61" s="142"/>
      <c r="D61" s="142"/>
      <c r="E61" s="142" t="s">
        <v>319</v>
      </c>
      <c r="F61" s="142" t="s">
        <v>320</v>
      </c>
      <c r="G61" s="142" t="s">
        <v>321</v>
      </c>
      <c r="H61" s="142" t="s">
        <v>322</v>
      </c>
      <c r="I61" s="139">
        <v>3000</v>
      </c>
      <c r="J61" s="138"/>
      <c r="K61" s="140">
        <v>500</v>
      </c>
      <c r="L61" s="142"/>
      <c r="M61" s="138"/>
      <c r="N61" s="191"/>
      <c r="O61" s="138"/>
      <c r="P61" s="191"/>
      <c r="Q61" s="170">
        <v>2873</v>
      </c>
      <c r="R61" s="138"/>
      <c r="S61" s="141">
        <v>559</v>
      </c>
      <c r="T61" s="142" t="s">
        <v>323</v>
      </c>
      <c r="U61" s="154">
        <f>S61-W61</f>
        <v>489.12</v>
      </c>
      <c r="V61" s="154">
        <v>0</v>
      </c>
      <c r="W61" s="154">
        <v>69.88</v>
      </c>
      <c r="X61" s="171">
        <f t="shared" si="9"/>
        <v>372.49</v>
      </c>
      <c r="Y61" s="155">
        <v>0</v>
      </c>
      <c r="Z61" s="155">
        <f t="shared" si="10"/>
        <v>15.66</v>
      </c>
      <c r="AA61" s="155">
        <f t="shared" si="7"/>
        <v>388.15000000000003</v>
      </c>
      <c r="AB61" s="156">
        <f t="shared" si="1"/>
        <v>13.510268012530457</v>
      </c>
      <c r="AC61" s="155">
        <v>372.49</v>
      </c>
      <c r="AD61" s="155">
        <v>0</v>
      </c>
      <c r="AE61" s="155">
        <v>15.66</v>
      </c>
      <c r="AF61" s="155">
        <f t="shared" si="11"/>
        <v>388.15000000000003</v>
      </c>
      <c r="AG61" s="156">
        <f t="shared" si="0"/>
        <v>13.510268012530457</v>
      </c>
      <c r="AH61" s="193"/>
      <c r="AI61" s="194"/>
      <c r="AJ61" s="195"/>
      <c r="AK61" s="193">
        <f t="shared" si="8"/>
        <v>0</v>
      </c>
      <c r="AL61" s="193"/>
      <c r="AM61" s="193"/>
    </row>
    <row r="62" spans="1:64" s="129" customFormat="1" ht="25.5">
      <c r="A62" s="196"/>
      <c r="B62" s="172" t="s">
        <v>324</v>
      </c>
      <c r="C62" s="142"/>
      <c r="D62" s="142"/>
      <c r="E62" s="142" t="s">
        <v>266</v>
      </c>
      <c r="F62" s="142" t="s">
        <v>325</v>
      </c>
      <c r="G62" s="142" t="s">
        <v>326</v>
      </c>
      <c r="H62" s="142" t="s">
        <v>327</v>
      </c>
      <c r="I62" s="250" t="s">
        <v>126</v>
      </c>
      <c r="J62" s="138"/>
      <c r="K62" s="140" t="s">
        <v>126</v>
      </c>
      <c r="L62" s="142"/>
      <c r="M62" s="138"/>
      <c r="N62" s="191"/>
      <c r="O62" s="138"/>
      <c r="P62" s="191"/>
      <c r="Q62" s="170">
        <v>600</v>
      </c>
      <c r="R62" s="138"/>
      <c r="S62" s="141">
        <v>60</v>
      </c>
      <c r="T62" s="142" t="s">
        <v>323</v>
      </c>
      <c r="U62" s="154">
        <f>S62-W62</f>
        <v>52.5</v>
      </c>
      <c r="V62" s="154">
        <v>0</v>
      </c>
      <c r="W62" s="154">
        <v>7.5</v>
      </c>
      <c r="X62" s="171">
        <f t="shared" si="9"/>
        <v>0</v>
      </c>
      <c r="Y62" s="155">
        <v>0</v>
      </c>
      <c r="Z62" s="155">
        <f t="shared" si="10"/>
        <v>0</v>
      </c>
      <c r="AA62" s="155">
        <f t="shared" si="7"/>
        <v>0</v>
      </c>
      <c r="AB62" s="156">
        <f t="shared" si="1"/>
        <v>0</v>
      </c>
      <c r="AC62" s="154">
        <v>0</v>
      </c>
      <c r="AD62" s="155">
        <v>0</v>
      </c>
      <c r="AE62" s="154">
        <v>0</v>
      </c>
      <c r="AF62" s="155">
        <f t="shared" si="11"/>
        <v>0</v>
      </c>
      <c r="AG62" s="156">
        <f t="shared" si="0"/>
        <v>0</v>
      </c>
      <c r="AH62" s="193"/>
      <c r="AI62" s="186"/>
      <c r="AJ62" s="186"/>
      <c r="AK62" s="193">
        <f t="shared" si="8"/>
        <v>0</v>
      </c>
      <c r="AL62" s="193"/>
      <c r="AM62" s="193"/>
    </row>
    <row r="63" spans="1:64" s="129" customFormat="1" ht="25.5">
      <c r="A63" s="196"/>
      <c r="B63" s="172" t="s">
        <v>328</v>
      </c>
      <c r="C63" s="142"/>
      <c r="D63" s="142"/>
      <c r="E63" s="142" t="s">
        <v>266</v>
      </c>
      <c r="F63" s="142" t="s">
        <v>320</v>
      </c>
      <c r="G63" s="142" t="s">
        <v>329</v>
      </c>
      <c r="H63" s="142" t="s">
        <v>330</v>
      </c>
      <c r="I63" s="139">
        <v>3600</v>
      </c>
      <c r="J63" s="138"/>
      <c r="K63" s="140">
        <v>600</v>
      </c>
      <c r="L63" s="142"/>
      <c r="M63" s="138"/>
      <c r="N63" s="191"/>
      <c r="O63" s="138"/>
      <c r="P63" s="191"/>
      <c r="Q63" s="170">
        <v>1690</v>
      </c>
      <c r="R63" s="138"/>
      <c r="S63" s="141">
        <v>226</v>
      </c>
      <c r="T63" s="142" t="s">
        <v>323</v>
      </c>
      <c r="U63" s="154">
        <f>S63-W63</f>
        <v>197.75</v>
      </c>
      <c r="V63" s="154">
        <v>0</v>
      </c>
      <c r="W63" s="154">
        <v>28.25</v>
      </c>
      <c r="X63" s="171">
        <f t="shared" si="9"/>
        <v>20.431000000000001</v>
      </c>
      <c r="Y63" s="155">
        <v>0</v>
      </c>
      <c r="Z63" s="155">
        <f t="shared" si="10"/>
        <v>22.536000000000001</v>
      </c>
      <c r="AA63" s="155">
        <f t="shared" si="7"/>
        <v>42.966999999999999</v>
      </c>
      <c r="AB63" s="156">
        <f t="shared" si="1"/>
        <v>2.5424260355029586</v>
      </c>
      <c r="AC63" s="155">
        <v>0</v>
      </c>
      <c r="AD63" s="155">
        <v>0</v>
      </c>
      <c r="AE63" s="155">
        <v>15.662000000000001</v>
      </c>
      <c r="AF63" s="155">
        <f t="shared" si="11"/>
        <v>15.662000000000001</v>
      </c>
      <c r="AG63" s="156">
        <f t="shared" si="0"/>
        <v>0.92674556213017756</v>
      </c>
      <c r="AH63" s="193"/>
      <c r="AI63" s="186">
        <v>20.431000000000001</v>
      </c>
      <c r="AJ63" s="186">
        <v>6.8739999999999997</v>
      </c>
      <c r="AK63" s="193">
        <f t="shared" si="8"/>
        <v>27.305</v>
      </c>
      <c r="AL63" s="193"/>
      <c r="AM63" s="193"/>
    </row>
    <row r="64" spans="1:64" s="241" customFormat="1" ht="15" customHeight="1">
      <c r="A64" s="251"/>
      <c r="B64" s="243" t="s">
        <v>280</v>
      </c>
      <c r="C64" s="142"/>
      <c r="D64" s="142"/>
      <c r="E64" s="142"/>
      <c r="F64" s="142"/>
      <c r="G64" s="142"/>
      <c r="H64" s="142"/>
      <c r="I64" s="139"/>
      <c r="J64" s="138"/>
      <c r="K64" s="140"/>
      <c r="L64" s="142"/>
      <c r="M64" s="138"/>
      <c r="N64" s="191"/>
      <c r="O64" s="138"/>
      <c r="P64" s="191"/>
      <c r="Q64" s="159">
        <f>SUM(Q60:Q63)</f>
        <v>5393</v>
      </c>
      <c r="R64" s="138"/>
      <c r="S64" s="141">
        <f>SUM(S60:S63)</f>
        <v>889.5</v>
      </c>
      <c r="T64" s="142"/>
      <c r="U64" s="160">
        <f t="shared" ref="U64:AM64" si="22">SUM(U60:U63)</f>
        <v>778.31</v>
      </c>
      <c r="V64" s="160">
        <f t="shared" si="22"/>
        <v>0</v>
      </c>
      <c r="W64" s="160">
        <f t="shared" si="22"/>
        <v>111.19</v>
      </c>
      <c r="X64" s="160">
        <f t="shared" si="22"/>
        <v>392.92099999999999</v>
      </c>
      <c r="Y64" s="160">
        <f t="shared" si="22"/>
        <v>0</v>
      </c>
      <c r="Z64" s="160">
        <f t="shared" si="22"/>
        <v>38.195999999999998</v>
      </c>
      <c r="AA64" s="160">
        <f>SUM(AA60:AA63)</f>
        <v>431.11700000000002</v>
      </c>
      <c r="AB64" s="156">
        <f t="shared" si="1"/>
        <v>7.9940107546819963</v>
      </c>
      <c r="AC64" s="160">
        <f t="shared" si="22"/>
        <v>372.49</v>
      </c>
      <c r="AD64" s="160">
        <f t="shared" si="22"/>
        <v>0</v>
      </c>
      <c r="AE64" s="160">
        <f t="shared" si="22"/>
        <v>31.322000000000003</v>
      </c>
      <c r="AF64" s="160">
        <f t="shared" si="22"/>
        <v>403.81200000000001</v>
      </c>
      <c r="AG64" s="156">
        <f t="shared" si="0"/>
        <v>7.4877062859262011</v>
      </c>
      <c r="AH64" s="161"/>
      <c r="AI64" s="161">
        <f t="shared" si="22"/>
        <v>20.431000000000001</v>
      </c>
      <c r="AJ64" s="161">
        <f t="shared" si="22"/>
        <v>6.8739999999999997</v>
      </c>
      <c r="AK64" s="161">
        <f t="shared" si="22"/>
        <v>27.305</v>
      </c>
      <c r="AL64" s="161">
        <f t="shared" si="22"/>
        <v>0</v>
      </c>
      <c r="AM64" s="161">
        <f t="shared" si="22"/>
        <v>0</v>
      </c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</row>
    <row r="65" spans="1:64" s="229" customFormat="1" ht="25.9" customHeight="1">
      <c r="A65" s="174"/>
      <c r="B65" s="175" t="s">
        <v>331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7">
        <f>Q64+Q55</f>
        <v>12331.4</v>
      </c>
      <c r="R65" s="176"/>
      <c r="S65" s="166">
        <f>S64+S58+S55</f>
        <v>2689.71</v>
      </c>
      <c r="T65" s="174"/>
      <c r="U65" s="166">
        <f t="shared" ref="U65:AM65" si="23">U64+U58+U55</f>
        <v>2321.2299999999996</v>
      </c>
      <c r="V65" s="166">
        <f t="shared" si="23"/>
        <v>0</v>
      </c>
      <c r="W65" s="166">
        <f t="shared" si="23"/>
        <v>368.47999999999996</v>
      </c>
      <c r="X65" s="166">
        <f>X64+X58+X55</f>
        <v>414.18099999999998</v>
      </c>
      <c r="Y65" s="166">
        <f t="shared" ref="Y65" si="24">Y64+Y58+Y55</f>
        <v>0</v>
      </c>
      <c r="Z65" s="166">
        <f t="shared" si="23"/>
        <v>38.195999999999998</v>
      </c>
      <c r="AA65" s="166">
        <f>AA64+AA58+AA55</f>
        <v>452.37700000000001</v>
      </c>
      <c r="AB65" s="178">
        <f t="shared" si="1"/>
        <v>3.6684966832638635</v>
      </c>
      <c r="AC65" s="166">
        <f t="shared" si="23"/>
        <v>393.75</v>
      </c>
      <c r="AD65" s="166">
        <f t="shared" si="23"/>
        <v>0</v>
      </c>
      <c r="AE65" s="166">
        <f t="shared" si="23"/>
        <v>31.322000000000003</v>
      </c>
      <c r="AF65" s="166">
        <f t="shared" si="23"/>
        <v>425.072</v>
      </c>
      <c r="AG65" s="178">
        <f t="shared" si="0"/>
        <v>3.4470700812559807</v>
      </c>
      <c r="AH65" s="178"/>
      <c r="AI65" s="252">
        <f t="shared" si="23"/>
        <v>20.431000000000001</v>
      </c>
      <c r="AJ65" s="252">
        <f t="shared" si="23"/>
        <v>191.874</v>
      </c>
      <c r="AK65" s="252">
        <f t="shared" si="23"/>
        <v>212.30500000000001</v>
      </c>
      <c r="AL65" s="252">
        <f t="shared" si="23"/>
        <v>0</v>
      </c>
      <c r="AM65" s="252">
        <f t="shared" si="23"/>
        <v>0</v>
      </c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8"/>
      <c r="AY65" s="228"/>
      <c r="AZ65" s="228"/>
      <c r="BA65" s="228"/>
      <c r="BB65" s="228"/>
      <c r="BC65" s="228"/>
      <c r="BD65" s="228"/>
      <c r="BE65" s="228"/>
      <c r="BF65" s="228"/>
      <c r="BG65" s="228"/>
      <c r="BH65" s="228"/>
      <c r="BI65" s="228"/>
      <c r="BJ65" s="228"/>
      <c r="BK65" s="228"/>
      <c r="BL65" s="228"/>
    </row>
    <row r="66" spans="1:64" s="129" customFormat="1" ht="38.25">
      <c r="A66" s="131" t="s">
        <v>332</v>
      </c>
      <c r="B66" s="146" t="s">
        <v>333</v>
      </c>
      <c r="C66" s="184" t="s">
        <v>334</v>
      </c>
      <c r="D66" s="184"/>
      <c r="E66" s="142"/>
      <c r="F66" s="142"/>
      <c r="G66" s="142"/>
      <c r="H66" s="142"/>
      <c r="I66" s="139"/>
      <c r="J66" s="138"/>
      <c r="K66" s="140"/>
      <c r="L66" s="142"/>
      <c r="M66" s="138"/>
      <c r="N66" s="191"/>
      <c r="O66" s="138"/>
      <c r="P66" s="191"/>
      <c r="Q66" s="139"/>
      <c r="R66" s="138"/>
      <c r="S66" s="141"/>
      <c r="T66" s="142"/>
      <c r="U66" s="154"/>
      <c r="V66" s="154"/>
      <c r="W66" s="154"/>
      <c r="X66" s="171"/>
      <c r="Y66" s="155"/>
      <c r="Z66" s="155"/>
      <c r="AA66" s="155"/>
      <c r="AB66" s="156"/>
      <c r="AC66" s="155"/>
      <c r="AD66" s="155"/>
      <c r="AE66" s="155"/>
      <c r="AF66" s="155"/>
      <c r="AG66" s="156"/>
      <c r="AH66" s="193"/>
      <c r="AI66" s="195"/>
      <c r="AJ66" s="195"/>
      <c r="AK66" s="193">
        <f t="shared" si="8"/>
        <v>0</v>
      </c>
      <c r="AL66" s="193"/>
      <c r="AM66" s="193"/>
    </row>
    <row r="67" spans="1:64" s="129" customFormat="1" ht="19.5" customHeight="1">
      <c r="A67" s="131"/>
      <c r="B67" s="146" t="s">
        <v>212</v>
      </c>
      <c r="C67" s="142"/>
      <c r="D67" s="142"/>
      <c r="E67" s="142"/>
      <c r="F67" s="142"/>
      <c r="G67" s="142"/>
      <c r="H67" s="142"/>
      <c r="I67" s="139"/>
      <c r="J67" s="138"/>
      <c r="K67" s="140"/>
      <c r="L67" s="142"/>
      <c r="M67" s="138"/>
      <c r="N67" s="191"/>
      <c r="O67" s="138"/>
      <c r="P67" s="191"/>
      <c r="Q67" s="139"/>
      <c r="R67" s="138"/>
      <c r="S67" s="141"/>
      <c r="T67" s="142"/>
      <c r="U67" s="154"/>
      <c r="V67" s="154"/>
      <c r="W67" s="154"/>
      <c r="X67" s="171"/>
      <c r="Y67" s="155"/>
      <c r="Z67" s="155"/>
      <c r="AA67" s="155"/>
      <c r="AB67" s="156"/>
      <c r="AC67" s="155"/>
      <c r="AD67" s="155"/>
      <c r="AE67" s="155"/>
      <c r="AF67" s="155"/>
      <c r="AG67" s="156"/>
      <c r="AH67" s="193"/>
      <c r="AI67" s="195"/>
      <c r="AJ67" s="195"/>
      <c r="AK67" s="193">
        <f t="shared" si="8"/>
        <v>0</v>
      </c>
      <c r="AL67" s="193"/>
      <c r="AM67" s="193"/>
    </row>
    <row r="68" spans="1:64" s="254" customFormat="1" ht="25.5">
      <c r="A68" s="230"/>
      <c r="B68" s="206" t="s">
        <v>335</v>
      </c>
      <c r="C68" s="138"/>
      <c r="D68" s="138"/>
      <c r="E68" s="138" t="s">
        <v>241</v>
      </c>
      <c r="F68" s="231" t="s">
        <v>98</v>
      </c>
      <c r="G68" s="231" t="s">
        <v>336</v>
      </c>
      <c r="H68" s="138" t="s">
        <v>337</v>
      </c>
      <c r="I68" s="232">
        <v>15</v>
      </c>
      <c r="J68" s="206"/>
      <c r="K68" s="223">
        <v>6</v>
      </c>
      <c r="L68" s="142"/>
      <c r="M68" s="138">
        <v>0</v>
      </c>
      <c r="N68" s="138">
        <v>0</v>
      </c>
      <c r="O68" s="138">
        <v>0</v>
      </c>
      <c r="P68" s="138">
        <v>0</v>
      </c>
      <c r="Q68" s="253">
        <v>6</v>
      </c>
      <c r="R68" s="206"/>
      <c r="S68" s="225">
        <v>4.57</v>
      </c>
      <c r="T68" s="142" t="s">
        <v>261</v>
      </c>
      <c r="U68" s="154">
        <f>S68-W68</f>
        <v>4</v>
      </c>
      <c r="V68" s="154">
        <v>0</v>
      </c>
      <c r="W68" s="154">
        <v>0.56999999999999995</v>
      </c>
      <c r="X68" s="171">
        <v>0</v>
      </c>
      <c r="Y68" s="155">
        <v>0</v>
      </c>
      <c r="Z68" s="155">
        <v>0</v>
      </c>
      <c r="AA68" s="155">
        <f t="shared" si="7"/>
        <v>0</v>
      </c>
      <c r="AB68" s="156">
        <f t="shared" si="1"/>
        <v>0</v>
      </c>
      <c r="AC68" s="154">
        <v>0</v>
      </c>
      <c r="AD68" s="155">
        <v>0</v>
      </c>
      <c r="AE68" s="154">
        <v>0</v>
      </c>
      <c r="AF68" s="155">
        <f t="shared" si="11"/>
        <v>0</v>
      </c>
      <c r="AG68" s="156">
        <f t="shared" si="0"/>
        <v>0</v>
      </c>
      <c r="AH68" s="193"/>
      <c r="AI68" s="186"/>
      <c r="AJ68" s="186"/>
      <c r="AK68" s="193">
        <f t="shared" si="8"/>
        <v>0</v>
      </c>
      <c r="AL68" s="193"/>
      <c r="AM68" s="193"/>
      <c r="AN68" s="73"/>
      <c r="AO68" s="73"/>
    </row>
    <row r="69" spans="1:64" s="255" customFormat="1" ht="25.5">
      <c r="A69" s="157"/>
      <c r="B69" s="152" t="s">
        <v>338</v>
      </c>
      <c r="C69" s="172"/>
      <c r="D69" s="172"/>
      <c r="E69" s="142" t="s">
        <v>256</v>
      </c>
      <c r="F69" s="142" t="s">
        <v>267</v>
      </c>
      <c r="G69" s="142" t="s">
        <v>339</v>
      </c>
      <c r="H69" s="142">
        <v>7016</v>
      </c>
      <c r="I69" s="139" t="s">
        <v>113</v>
      </c>
      <c r="J69" s="138"/>
      <c r="K69" s="140"/>
      <c r="L69" s="142"/>
      <c r="M69" s="138">
        <v>0</v>
      </c>
      <c r="N69" s="191">
        <v>0</v>
      </c>
      <c r="O69" s="138">
        <v>0</v>
      </c>
      <c r="P69" s="191">
        <v>0</v>
      </c>
      <c r="Q69" s="253">
        <v>2990</v>
      </c>
      <c r="R69" s="138"/>
      <c r="S69" s="141">
        <v>0</v>
      </c>
      <c r="T69" s="142" t="s">
        <v>244</v>
      </c>
      <c r="U69" s="154">
        <v>0</v>
      </c>
      <c r="V69" s="154">
        <v>0</v>
      </c>
      <c r="W69" s="154">
        <v>0</v>
      </c>
      <c r="X69" s="171">
        <v>18.600000000000001</v>
      </c>
      <c r="Y69" s="154">
        <v>0</v>
      </c>
      <c r="Z69" s="155">
        <v>0</v>
      </c>
      <c r="AA69" s="155">
        <f t="shared" si="7"/>
        <v>18.600000000000001</v>
      </c>
      <c r="AB69" s="156">
        <f t="shared" si="1"/>
        <v>0.62207357859531776</v>
      </c>
      <c r="AC69" s="154">
        <v>18.600000000000001</v>
      </c>
      <c r="AD69" s="154">
        <v>0</v>
      </c>
      <c r="AE69" s="154">
        <v>0</v>
      </c>
      <c r="AF69" s="155">
        <f t="shared" si="11"/>
        <v>18.600000000000001</v>
      </c>
      <c r="AG69" s="156">
        <f t="shared" si="0"/>
        <v>0.62207357859531776</v>
      </c>
      <c r="AH69" s="193"/>
      <c r="AI69" s="186"/>
      <c r="AJ69" s="186"/>
      <c r="AK69" s="193">
        <f t="shared" si="8"/>
        <v>0</v>
      </c>
      <c r="AL69" s="193"/>
      <c r="AM69" s="193"/>
      <c r="AN69" s="129"/>
      <c r="AO69" s="129"/>
    </row>
    <row r="70" spans="1:64" s="255" customFormat="1" ht="24.95" customHeight="1">
      <c r="A70" s="157"/>
      <c r="B70" s="146" t="s">
        <v>340</v>
      </c>
      <c r="C70" s="172"/>
      <c r="D70" s="172"/>
      <c r="E70" s="142"/>
      <c r="F70" s="142"/>
      <c r="G70" s="142"/>
      <c r="H70" s="142"/>
      <c r="I70" s="139"/>
      <c r="J70" s="138"/>
      <c r="K70" s="140"/>
      <c r="L70" s="142"/>
      <c r="M70" s="138"/>
      <c r="N70" s="191"/>
      <c r="O70" s="138"/>
      <c r="P70" s="191"/>
      <c r="Q70" s="256">
        <f>SUM(Q68:Q69)</f>
        <v>2996</v>
      </c>
      <c r="R70" s="138"/>
      <c r="S70" s="141">
        <f>SUM(S68:S69)</f>
        <v>4.57</v>
      </c>
      <c r="T70" s="142"/>
      <c r="U70" s="160">
        <f t="shared" ref="U70:AM70" si="25">SUM(U68:U69)</f>
        <v>4</v>
      </c>
      <c r="V70" s="160">
        <f t="shared" si="25"/>
        <v>0</v>
      </c>
      <c r="W70" s="160">
        <f t="shared" si="25"/>
        <v>0.56999999999999995</v>
      </c>
      <c r="X70" s="160">
        <f t="shared" si="25"/>
        <v>18.600000000000001</v>
      </c>
      <c r="Y70" s="160">
        <f t="shared" si="25"/>
        <v>0</v>
      </c>
      <c r="Z70" s="160">
        <f t="shared" si="25"/>
        <v>0</v>
      </c>
      <c r="AA70" s="160">
        <f t="shared" si="25"/>
        <v>18.600000000000001</v>
      </c>
      <c r="AB70" s="156">
        <f t="shared" si="1"/>
        <v>0.62082777036048076</v>
      </c>
      <c r="AC70" s="160">
        <f t="shared" si="25"/>
        <v>18.600000000000001</v>
      </c>
      <c r="AD70" s="160">
        <f t="shared" si="25"/>
        <v>0</v>
      </c>
      <c r="AE70" s="160">
        <f t="shared" si="25"/>
        <v>0</v>
      </c>
      <c r="AF70" s="160">
        <f t="shared" si="25"/>
        <v>18.600000000000001</v>
      </c>
      <c r="AG70" s="156">
        <f t="shared" si="0"/>
        <v>0.62082777036048076</v>
      </c>
      <c r="AH70" s="161"/>
      <c r="AI70" s="161">
        <f t="shared" si="25"/>
        <v>0</v>
      </c>
      <c r="AJ70" s="161">
        <f t="shared" si="25"/>
        <v>0</v>
      </c>
      <c r="AK70" s="161">
        <f t="shared" si="25"/>
        <v>0</v>
      </c>
      <c r="AL70" s="161">
        <f t="shared" si="25"/>
        <v>0</v>
      </c>
      <c r="AM70" s="161">
        <f t="shared" si="25"/>
        <v>0</v>
      </c>
      <c r="AN70" s="129"/>
      <c r="AO70" s="129"/>
    </row>
    <row r="71" spans="1:64" s="255" customFormat="1" ht="24.95" customHeight="1">
      <c r="A71" s="157"/>
      <c r="B71" s="146" t="s">
        <v>219</v>
      </c>
      <c r="C71" s="172"/>
      <c r="D71" s="172"/>
      <c r="E71" s="142"/>
      <c r="F71" s="142"/>
      <c r="G71" s="142"/>
      <c r="H71" s="142"/>
      <c r="I71" s="139"/>
      <c r="J71" s="138"/>
      <c r="K71" s="140"/>
      <c r="L71" s="142"/>
      <c r="M71" s="138"/>
      <c r="N71" s="191"/>
      <c r="O71" s="138"/>
      <c r="P71" s="191"/>
      <c r="Q71" s="253"/>
      <c r="R71" s="138"/>
      <c r="S71" s="141"/>
      <c r="T71" s="142"/>
      <c r="U71" s="154"/>
      <c r="V71" s="154"/>
      <c r="W71" s="154"/>
      <c r="X71" s="171"/>
      <c r="Y71" s="155"/>
      <c r="Z71" s="155"/>
      <c r="AA71" s="155"/>
      <c r="AB71" s="156"/>
      <c r="AC71" s="155"/>
      <c r="AD71" s="155"/>
      <c r="AE71" s="155"/>
      <c r="AF71" s="155"/>
      <c r="AG71" s="156"/>
      <c r="AH71" s="193"/>
      <c r="AI71" s="186"/>
      <c r="AJ71" s="186"/>
      <c r="AK71" s="193">
        <f t="shared" si="8"/>
        <v>0</v>
      </c>
      <c r="AL71" s="193"/>
      <c r="AM71" s="193"/>
      <c r="AN71" s="129"/>
      <c r="AO71" s="129"/>
    </row>
    <row r="72" spans="1:64" s="255" customFormat="1" ht="14.25">
      <c r="A72" s="157"/>
      <c r="B72" s="152" t="s">
        <v>311</v>
      </c>
      <c r="C72" s="172"/>
      <c r="D72" s="172"/>
      <c r="E72" s="142"/>
      <c r="F72" s="142"/>
      <c r="G72" s="142"/>
      <c r="H72" s="142"/>
      <c r="I72" s="139"/>
      <c r="J72" s="138"/>
      <c r="K72" s="140"/>
      <c r="L72" s="142"/>
      <c r="M72" s="138">
        <v>0</v>
      </c>
      <c r="N72" s="191">
        <v>0</v>
      </c>
      <c r="O72" s="138">
        <v>0</v>
      </c>
      <c r="P72" s="191">
        <v>0</v>
      </c>
      <c r="Q72" s="257">
        <v>0</v>
      </c>
      <c r="R72" s="138"/>
      <c r="S72" s="141">
        <v>0</v>
      </c>
      <c r="T72" s="142"/>
      <c r="U72" s="154">
        <v>0</v>
      </c>
      <c r="V72" s="154">
        <v>0</v>
      </c>
      <c r="W72" s="154">
        <v>0</v>
      </c>
      <c r="X72" s="171">
        <f t="shared" si="9"/>
        <v>0</v>
      </c>
      <c r="Y72" s="155">
        <v>0</v>
      </c>
      <c r="Z72" s="155">
        <f t="shared" si="10"/>
        <v>0</v>
      </c>
      <c r="AA72" s="155">
        <f t="shared" si="7"/>
        <v>0</v>
      </c>
      <c r="AB72" s="154">
        <v>0</v>
      </c>
      <c r="AC72" s="154">
        <v>0</v>
      </c>
      <c r="AD72" s="155">
        <v>0</v>
      </c>
      <c r="AE72" s="154">
        <v>0</v>
      </c>
      <c r="AF72" s="155">
        <f t="shared" si="11"/>
        <v>0</v>
      </c>
      <c r="AG72" s="156">
        <v>0</v>
      </c>
      <c r="AH72" s="193"/>
      <c r="AI72" s="186"/>
      <c r="AJ72" s="186"/>
      <c r="AK72" s="193">
        <f t="shared" si="8"/>
        <v>0</v>
      </c>
      <c r="AL72" s="193"/>
      <c r="AM72" s="193"/>
      <c r="AN72" s="129"/>
      <c r="AO72" s="129"/>
    </row>
    <row r="73" spans="1:64" s="255" customFormat="1" ht="24.95" customHeight="1">
      <c r="A73" s="157"/>
      <c r="B73" s="152" t="s">
        <v>341</v>
      </c>
      <c r="C73" s="172"/>
      <c r="D73" s="172"/>
      <c r="E73" s="142"/>
      <c r="F73" s="142"/>
      <c r="G73" s="142"/>
      <c r="H73" s="142"/>
      <c r="I73" s="139"/>
      <c r="J73" s="138"/>
      <c r="K73" s="140"/>
      <c r="L73" s="142"/>
      <c r="M73" s="138">
        <v>0</v>
      </c>
      <c r="N73" s="191">
        <v>0</v>
      </c>
      <c r="O73" s="138">
        <v>0</v>
      </c>
      <c r="P73" s="191">
        <v>0</v>
      </c>
      <c r="Q73" s="257">
        <v>0</v>
      </c>
      <c r="R73" s="138"/>
      <c r="S73" s="141">
        <v>0</v>
      </c>
      <c r="T73" s="258">
        <v>0</v>
      </c>
      <c r="U73" s="154">
        <v>0</v>
      </c>
      <c r="V73" s="154">
        <v>0</v>
      </c>
      <c r="W73" s="154">
        <v>0</v>
      </c>
      <c r="X73" s="171">
        <f t="shared" si="9"/>
        <v>0</v>
      </c>
      <c r="Y73" s="155">
        <v>0</v>
      </c>
      <c r="Z73" s="155">
        <f t="shared" si="10"/>
        <v>0</v>
      </c>
      <c r="AA73" s="155">
        <f t="shared" si="7"/>
        <v>0</v>
      </c>
      <c r="AB73" s="154">
        <v>0</v>
      </c>
      <c r="AC73" s="154">
        <v>0</v>
      </c>
      <c r="AD73" s="155">
        <v>0</v>
      </c>
      <c r="AE73" s="154">
        <v>0</v>
      </c>
      <c r="AF73" s="155">
        <f t="shared" si="11"/>
        <v>0</v>
      </c>
      <c r="AG73" s="156">
        <v>0</v>
      </c>
      <c r="AH73" s="193"/>
      <c r="AI73" s="186"/>
      <c r="AJ73" s="186"/>
      <c r="AK73" s="193">
        <f t="shared" si="8"/>
        <v>0</v>
      </c>
      <c r="AL73" s="193"/>
      <c r="AM73" s="193"/>
      <c r="AN73" s="129"/>
      <c r="AO73" s="129"/>
    </row>
    <row r="74" spans="1:64" s="255" customFormat="1" ht="36.75" customHeight="1">
      <c r="A74" s="157"/>
      <c r="B74" s="152" t="s">
        <v>342</v>
      </c>
      <c r="C74" s="172"/>
      <c r="D74" s="172"/>
      <c r="E74" s="142"/>
      <c r="F74" s="142"/>
      <c r="G74" s="142"/>
      <c r="H74" s="142"/>
      <c r="I74" s="139"/>
      <c r="J74" s="138"/>
      <c r="K74" s="140"/>
      <c r="L74" s="142"/>
      <c r="M74" s="138"/>
      <c r="N74" s="191"/>
      <c r="O74" s="138"/>
      <c r="P74" s="191"/>
      <c r="Q74" s="253"/>
      <c r="R74" s="138"/>
      <c r="S74" s="141"/>
      <c r="T74" s="258"/>
      <c r="U74" s="154"/>
      <c r="V74" s="154"/>
      <c r="W74" s="154"/>
      <c r="X74" s="171"/>
      <c r="Y74" s="154"/>
      <c r="Z74" s="155"/>
      <c r="AA74" s="155"/>
      <c r="AB74" s="154"/>
      <c r="AC74" s="154"/>
      <c r="AD74" s="154"/>
      <c r="AE74" s="154"/>
      <c r="AF74" s="155"/>
      <c r="AG74" s="156"/>
      <c r="AH74" s="193"/>
      <c r="AI74" s="186"/>
      <c r="AJ74" s="186"/>
      <c r="AK74" s="193">
        <f t="shared" si="8"/>
        <v>0</v>
      </c>
      <c r="AL74" s="193"/>
      <c r="AM74" s="193"/>
      <c r="AN74" s="129"/>
      <c r="AO74" s="129"/>
    </row>
    <row r="75" spans="1:64" s="255" customFormat="1" ht="24.95" customHeight="1">
      <c r="A75" s="157"/>
      <c r="B75" s="152" t="s">
        <v>311</v>
      </c>
      <c r="C75" s="172"/>
      <c r="D75" s="172"/>
      <c r="E75" s="142"/>
      <c r="F75" s="142"/>
      <c r="G75" s="142"/>
      <c r="H75" s="142"/>
      <c r="I75" s="139">
        <v>0</v>
      </c>
      <c r="J75" s="138"/>
      <c r="K75" s="140">
        <v>0</v>
      </c>
      <c r="L75" s="142"/>
      <c r="M75" s="138">
        <v>0</v>
      </c>
      <c r="N75" s="191">
        <v>0</v>
      </c>
      <c r="O75" s="138">
        <v>0</v>
      </c>
      <c r="P75" s="191">
        <v>0</v>
      </c>
      <c r="Q75" s="257">
        <v>0</v>
      </c>
      <c r="R75" s="138"/>
      <c r="S75" s="141">
        <v>0</v>
      </c>
      <c r="T75" s="258">
        <v>0</v>
      </c>
      <c r="U75" s="154">
        <v>0</v>
      </c>
      <c r="V75" s="154">
        <v>0</v>
      </c>
      <c r="W75" s="154">
        <v>0</v>
      </c>
      <c r="X75" s="171">
        <f t="shared" si="9"/>
        <v>0</v>
      </c>
      <c r="Y75" s="155">
        <v>0</v>
      </c>
      <c r="Z75" s="155">
        <f t="shared" si="10"/>
        <v>0</v>
      </c>
      <c r="AA75" s="155">
        <f t="shared" si="7"/>
        <v>0</v>
      </c>
      <c r="AB75" s="154">
        <v>0</v>
      </c>
      <c r="AC75" s="154">
        <v>0</v>
      </c>
      <c r="AD75" s="155">
        <v>0</v>
      </c>
      <c r="AE75" s="154">
        <v>0</v>
      </c>
      <c r="AF75" s="155">
        <f t="shared" si="11"/>
        <v>0</v>
      </c>
      <c r="AG75" s="156">
        <v>0</v>
      </c>
      <c r="AH75" s="193"/>
      <c r="AI75" s="186"/>
      <c r="AJ75" s="186"/>
      <c r="AK75" s="193">
        <f t="shared" si="8"/>
        <v>0</v>
      </c>
      <c r="AL75" s="193"/>
      <c r="AM75" s="193"/>
      <c r="AN75" s="129"/>
      <c r="AO75" s="129"/>
    </row>
    <row r="76" spans="1:64" s="255" customFormat="1" ht="24.95" customHeight="1">
      <c r="A76" s="173"/>
      <c r="B76" s="152" t="s">
        <v>280</v>
      </c>
      <c r="C76" s="172"/>
      <c r="D76" s="172"/>
      <c r="E76" s="142"/>
      <c r="F76" s="142"/>
      <c r="G76" s="142"/>
      <c r="H76" s="142"/>
      <c r="I76" s="139">
        <v>0</v>
      </c>
      <c r="J76" s="138"/>
      <c r="K76" s="140">
        <v>0</v>
      </c>
      <c r="L76" s="142"/>
      <c r="M76" s="138">
        <v>0</v>
      </c>
      <c r="N76" s="191">
        <v>0</v>
      </c>
      <c r="O76" s="138">
        <v>0</v>
      </c>
      <c r="P76" s="191">
        <v>0</v>
      </c>
      <c r="Q76" s="257">
        <v>0</v>
      </c>
      <c r="R76" s="138"/>
      <c r="S76" s="141">
        <v>0</v>
      </c>
      <c r="T76" s="258">
        <v>0</v>
      </c>
      <c r="U76" s="154">
        <v>0</v>
      </c>
      <c r="V76" s="154">
        <v>0</v>
      </c>
      <c r="W76" s="154">
        <v>0</v>
      </c>
      <c r="X76" s="171">
        <f t="shared" si="9"/>
        <v>0</v>
      </c>
      <c r="Y76" s="155">
        <v>0</v>
      </c>
      <c r="Z76" s="155">
        <f t="shared" si="10"/>
        <v>0</v>
      </c>
      <c r="AA76" s="155">
        <f t="shared" si="7"/>
        <v>0</v>
      </c>
      <c r="AB76" s="154">
        <v>0</v>
      </c>
      <c r="AC76" s="154">
        <v>0</v>
      </c>
      <c r="AD76" s="155">
        <v>0</v>
      </c>
      <c r="AE76" s="154">
        <v>0</v>
      </c>
      <c r="AF76" s="155">
        <f t="shared" si="11"/>
        <v>0</v>
      </c>
      <c r="AG76" s="156">
        <v>0</v>
      </c>
      <c r="AH76" s="193"/>
      <c r="AI76" s="186"/>
      <c r="AJ76" s="186"/>
      <c r="AK76" s="193">
        <f t="shared" si="8"/>
        <v>0</v>
      </c>
      <c r="AL76" s="193"/>
      <c r="AM76" s="193"/>
      <c r="AN76" s="129"/>
      <c r="AO76" s="129"/>
    </row>
    <row r="77" spans="1:64" s="265" customFormat="1" ht="19.5" customHeight="1">
      <c r="A77" s="259"/>
      <c r="B77" s="175" t="s">
        <v>343</v>
      </c>
      <c r="C77" s="259"/>
      <c r="D77" s="259"/>
      <c r="E77" s="176"/>
      <c r="F77" s="176"/>
      <c r="G77" s="176"/>
      <c r="H77" s="176"/>
      <c r="I77" s="259"/>
      <c r="J77" s="259"/>
      <c r="K77" s="176"/>
      <c r="L77" s="259"/>
      <c r="M77" s="259"/>
      <c r="N77" s="259"/>
      <c r="O77" s="259"/>
      <c r="P77" s="259"/>
      <c r="Q77" s="260">
        <f>Q68+Q69</f>
        <v>2996</v>
      </c>
      <c r="R77" s="259"/>
      <c r="S77" s="261">
        <f>S70</f>
        <v>4.57</v>
      </c>
      <c r="T77" s="174"/>
      <c r="U77" s="262">
        <f t="shared" ref="U77:AK77" si="26">U70</f>
        <v>4</v>
      </c>
      <c r="V77" s="262">
        <f t="shared" si="26"/>
        <v>0</v>
      </c>
      <c r="W77" s="262">
        <f t="shared" si="26"/>
        <v>0.56999999999999995</v>
      </c>
      <c r="X77" s="262">
        <f t="shared" si="26"/>
        <v>18.600000000000001</v>
      </c>
      <c r="Y77" s="262">
        <f t="shared" si="26"/>
        <v>0</v>
      </c>
      <c r="Z77" s="262">
        <f t="shared" si="26"/>
        <v>0</v>
      </c>
      <c r="AA77" s="262">
        <f t="shared" si="26"/>
        <v>18.600000000000001</v>
      </c>
      <c r="AB77" s="178">
        <f t="shared" si="1"/>
        <v>0.62082777036048076</v>
      </c>
      <c r="AC77" s="262">
        <f t="shared" si="26"/>
        <v>18.600000000000001</v>
      </c>
      <c r="AD77" s="262">
        <f t="shared" si="26"/>
        <v>0</v>
      </c>
      <c r="AE77" s="262">
        <f t="shared" si="26"/>
        <v>0</v>
      </c>
      <c r="AF77" s="262">
        <f t="shared" si="26"/>
        <v>18.600000000000001</v>
      </c>
      <c r="AG77" s="178">
        <f t="shared" si="0"/>
        <v>0.62082777036048076</v>
      </c>
      <c r="AH77" s="260"/>
      <c r="AI77" s="263">
        <f t="shared" si="26"/>
        <v>0</v>
      </c>
      <c r="AJ77" s="263">
        <f t="shared" si="26"/>
        <v>0</v>
      </c>
      <c r="AK77" s="263">
        <f t="shared" si="26"/>
        <v>0</v>
      </c>
      <c r="AL77" s="263"/>
      <c r="AM77" s="264"/>
    </row>
    <row r="78" spans="1:64" s="129" customFormat="1" ht="38.25">
      <c r="A78" s="131" t="s">
        <v>344</v>
      </c>
      <c r="B78" s="146" t="s">
        <v>345</v>
      </c>
      <c r="C78" s="184" t="s">
        <v>346</v>
      </c>
      <c r="D78" s="184"/>
      <c r="E78" s="142"/>
      <c r="F78" s="142"/>
      <c r="G78" s="142"/>
      <c r="H78" s="142"/>
      <c r="I78" s="139"/>
      <c r="J78" s="138"/>
      <c r="K78" s="140"/>
      <c r="L78" s="142"/>
      <c r="M78" s="138"/>
      <c r="N78" s="191"/>
      <c r="O78" s="138"/>
      <c r="P78" s="191"/>
      <c r="Q78" s="139"/>
      <c r="R78" s="138"/>
      <c r="S78" s="141"/>
      <c r="T78" s="142"/>
      <c r="U78" s="154"/>
      <c r="V78" s="154"/>
      <c r="W78" s="154"/>
      <c r="X78" s="171"/>
      <c r="Y78" s="154"/>
      <c r="Z78" s="155"/>
      <c r="AA78" s="155"/>
      <c r="AB78" s="156"/>
      <c r="AC78" s="154"/>
      <c r="AD78" s="154"/>
      <c r="AE78" s="154"/>
      <c r="AF78" s="155"/>
      <c r="AG78" s="156"/>
      <c r="AH78" s="193"/>
      <c r="AI78" s="195"/>
      <c r="AJ78" s="195"/>
      <c r="AK78" s="193">
        <f t="shared" si="8"/>
        <v>0</v>
      </c>
      <c r="AL78" s="193"/>
      <c r="AM78" s="193"/>
    </row>
    <row r="79" spans="1:64" s="129" customFormat="1" ht="15.75" customHeight="1">
      <c r="A79" s="131"/>
      <c r="B79" s="146" t="s">
        <v>347</v>
      </c>
      <c r="C79" s="142"/>
      <c r="D79" s="142"/>
      <c r="E79" s="142"/>
      <c r="F79" s="142"/>
      <c r="G79" s="142"/>
      <c r="H79" s="142"/>
      <c r="I79" s="139"/>
      <c r="J79" s="138"/>
      <c r="K79" s="140"/>
      <c r="L79" s="142"/>
      <c r="M79" s="138"/>
      <c r="N79" s="191"/>
      <c r="O79" s="138"/>
      <c r="P79" s="191"/>
      <c r="Q79" s="139"/>
      <c r="R79" s="138"/>
      <c r="S79" s="141"/>
      <c r="T79" s="142"/>
      <c r="U79" s="154"/>
      <c r="V79" s="154"/>
      <c r="W79" s="154"/>
      <c r="X79" s="171"/>
      <c r="Y79" s="155"/>
      <c r="Z79" s="155"/>
      <c r="AA79" s="155"/>
      <c r="AB79" s="156"/>
      <c r="AC79" s="155"/>
      <c r="AD79" s="155"/>
      <c r="AE79" s="155"/>
      <c r="AF79" s="155"/>
      <c r="AG79" s="156"/>
      <c r="AH79" s="193"/>
      <c r="AI79" s="195"/>
      <c r="AJ79" s="195"/>
      <c r="AK79" s="193">
        <f t="shared" si="8"/>
        <v>0</v>
      </c>
      <c r="AL79" s="193"/>
      <c r="AM79" s="193"/>
    </row>
    <row r="80" spans="1:64" s="129" customFormat="1" ht="25.5">
      <c r="A80" s="266"/>
      <c r="B80" s="152" t="s">
        <v>348</v>
      </c>
      <c r="C80" s="195" t="s">
        <v>349</v>
      </c>
      <c r="D80" s="195"/>
      <c r="E80" s="142" t="s">
        <v>266</v>
      </c>
      <c r="F80" s="142" t="s">
        <v>297</v>
      </c>
      <c r="G80" s="142" t="s">
        <v>350</v>
      </c>
      <c r="H80" s="142" t="s">
        <v>351</v>
      </c>
      <c r="I80" s="139">
        <v>6</v>
      </c>
      <c r="J80" s="138"/>
      <c r="K80" s="140">
        <v>2</v>
      </c>
      <c r="L80" s="142"/>
      <c r="M80" s="138"/>
      <c r="N80" s="191"/>
      <c r="O80" s="138"/>
      <c r="P80" s="191"/>
      <c r="Q80" s="267">
        <v>60</v>
      </c>
      <c r="R80" s="138"/>
      <c r="S80" s="141">
        <v>35</v>
      </c>
      <c r="T80" s="142" t="s">
        <v>261</v>
      </c>
      <c r="U80" s="154">
        <f>S80-W80</f>
        <v>30.62</v>
      </c>
      <c r="V80" s="154">
        <v>0</v>
      </c>
      <c r="W80" s="154">
        <v>4.38</v>
      </c>
      <c r="X80" s="171">
        <f t="shared" si="9"/>
        <v>0</v>
      </c>
      <c r="Y80" s="155">
        <v>0</v>
      </c>
      <c r="Z80" s="155">
        <f t="shared" si="10"/>
        <v>0</v>
      </c>
      <c r="AA80" s="155">
        <f t="shared" si="7"/>
        <v>0</v>
      </c>
      <c r="AB80" s="156">
        <f t="shared" si="1"/>
        <v>0</v>
      </c>
      <c r="AC80" s="154">
        <v>0</v>
      </c>
      <c r="AD80" s="155">
        <v>0</v>
      </c>
      <c r="AE80" s="154">
        <v>0</v>
      </c>
      <c r="AF80" s="155">
        <f t="shared" si="11"/>
        <v>0</v>
      </c>
      <c r="AG80" s="156">
        <f t="shared" ref="AG80:AG88" si="27">AF80*100/Q80</f>
        <v>0</v>
      </c>
      <c r="AH80" s="193"/>
      <c r="AI80" s="186"/>
      <c r="AJ80" s="186"/>
      <c r="AK80" s="193">
        <f t="shared" si="8"/>
        <v>0</v>
      </c>
      <c r="AL80" s="193"/>
      <c r="AM80" s="193"/>
    </row>
    <row r="81" spans="1:64" s="129" customFormat="1" ht="22.5" customHeight="1">
      <c r="A81" s="131"/>
      <c r="B81" s="152" t="s">
        <v>264</v>
      </c>
      <c r="C81" s="195"/>
      <c r="D81" s="195"/>
      <c r="E81" s="142"/>
      <c r="F81" s="142"/>
      <c r="G81" s="142"/>
      <c r="H81" s="142"/>
      <c r="I81" s="139"/>
      <c r="J81" s="138"/>
      <c r="K81" s="140"/>
      <c r="L81" s="142"/>
      <c r="M81" s="138"/>
      <c r="N81" s="191"/>
      <c r="O81" s="138"/>
      <c r="P81" s="191"/>
      <c r="Q81" s="268"/>
      <c r="R81" s="138"/>
      <c r="S81" s="141">
        <f>S80</f>
        <v>35</v>
      </c>
      <c r="T81" s="142"/>
      <c r="U81" s="160">
        <f t="shared" ref="U81:AK81" si="28">U80</f>
        <v>30.62</v>
      </c>
      <c r="V81" s="160">
        <f t="shared" si="28"/>
        <v>0</v>
      </c>
      <c r="W81" s="160">
        <f t="shared" si="28"/>
        <v>4.38</v>
      </c>
      <c r="X81" s="160">
        <f t="shared" si="28"/>
        <v>0</v>
      </c>
      <c r="Y81" s="160">
        <f t="shared" si="28"/>
        <v>0</v>
      </c>
      <c r="Z81" s="160">
        <f t="shared" si="28"/>
        <v>0</v>
      </c>
      <c r="AA81" s="160">
        <f t="shared" si="28"/>
        <v>0</v>
      </c>
      <c r="AB81" s="160">
        <f t="shared" si="28"/>
        <v>0</v>
      </c>
      <c r="AC81" s="160">
        <f t="shared" si="28"/>
        <v>0</v>
      </c>
      <c r="AD81" s="160">
        <f t="shared" si="28"/>
        <v>0</v>
      </c>
      <c r="AE81" s="160">
        <f t="shared" si="28"/>
        <v>0</v>
      </c>
      <c r="AF81" s="160">
        <f t="shared" si="28"/>
        <v>0</v>
      </c>
      <c r="AG81" s="156">
        <v>0</v>
      </c>
      <c r="AH81" s="161"/>
      <c r="AI81" s="161">
        <f t="shared" si="28"/>
        <v>0</v>
      </c>
      <c r="AJ81" s="161">
        <f t="shared" si="28"/>
        <v>0</v>
      </c>
      <c r="AK81" s="161">
        <f t="shared" si="28"/>
        <v>0</v>
      </c>
      <c r="AL81" s="193"/>
      <c r="AM81" s="193"/>
    </row>
    <row r="82" spans="1:64" s="129" customFormat="1" ht="18" customHeight="1">
      <c r="A82" s="269"/>
      <c r="B82" s="152" t="s">
        <v>219</v>
      </c>
      <c r="C82" s="195"/>
      <c r="D82" s="195"/>
      <c r="E82" s="142"/>
      <c r="F82" s="142"/>
      <c r="G82" s="142"/>
      <c r="H82" s="142"/>
      <c r="I82" s="139"/>
      <c r="J82" s="138"/>
      <c r="K82" s="140"/>
      <c r="L82" s="142"/>
      <c r="M82" s="138"/>
      <c r="N82" s="191"/>
      <c r="O82" s="138"/>
      <c r="P82" s="191"/>
      <c r="Q82" s="268"/>
      <c r="R82" s="138"/>
      <c r="S82" s="141"/>
      <c r="T82" s="142"/>
      <c r="U82" s="154">
        <v>0</v>
      </c>
      <c r="V82" s="154">
        <v>0</v>
      </c>
      <c r="W82" s="154">
        <v>0</v>
      </c>
      <c r="X82" s="171">
        <f t="shared" si="9"/>
        <v>0</v>
      </c>
      <c r="Y82" s="155">
        <v>0</v>
      </c>
      <c r="Z82" s="155">
        <f t="shared" si="10"/>
        <v>0</v>
      </c>
      <c r="AA82" s="155">
        <f t="shared" si="7"/>
        <v>0</v>
      </c>
      <c r="AB82" s="154">
        <v>0</v>
      </c>
      <c r="AC82" s="154">
        <v>0</v>
      </c>
      <c r="AD82" s="155">
        <v>0</v>
      </c>
      <c r="AE82" s="154">
        <v>0</v>
      </c>
      <c r="AF82" s="155">
        <f t="shared" si="11"/>
        <v>0</v>
      </c>
      <c r="AG82" s="156">
        <v>0</v>
      </c>
      <c r="AH82" s="193"/>
      <c r="AI82" s="186"/>
      <c r="AJ82" s="186"/>
      <c r="AK82" s="193">
        <f t="shared" si="8"/>
        <v>0</v>
      </c>
      <c r="AL82" s="193"/>
      <c r="AM82" s="193"/>
    </row>
    <row r="83" spans="1:64" s="129" customFormat="1" ht="19.5" customHeight="1">
      <c r="A83" s="269"/>
      <c r="B83" s="152" t="s">
        <v>311</v>
      </c>
      <c r="C83" s="195"/>
      <c r="D83" s="195"/>
      <c r="E83" s="142"/>
      <c r="F83" s="142"/>
      <c r="G83" s="142"/>
      <c r="H83" s="142"/>
      <c r="I83" s="139">
        <v>0</v>
      </c>
      <c r="J83" s="138"/>
      <c r="K83" s="140">
        <v>0</v>
      </c>
      <c r="L83" s="142"/>
      <c r="M83" s="138">
        <v>0</v>
      </c>
      <c r="N83" s="191">
        <v>0</v>
      </c>
      <c r="O83" s="138">
        <v>0</v>
      </c>
      <c r="P83" s="191">
        <v>0</v>
      </c>
      <c r="Q83" s="270">
        <v>0</v>
      </c>
      <c r="R83" s="138"/>
      <c r="S83" s="141">
        <v>0</v>
      </c>
      <c r="T83" s="142"/>
      <c r="U83" s="154">
        <v>0</v>
      </c>
      <c r="V83" s="154">
        <v>0</v>
      </c>
      <c r="W83" s="154">
        <v>0</v>
      </c>
      <c r="X83" s="171">
        <f t="shared" si="9"/>
        <v>0</v>
      </c>
      <c r="Y83" s="155">
        <v>0</v>
      </c>
      <c r="Z83" s="155">
        <f t="shared" si="10"/>
        <v>0</v>
      </c>
      <c r="AA83" s="155">
        <f t="shared" si="7"/>
        <v>0</v>
      </c>
      <c r="AB83" s="154">
        <v>0</v>
      </c>
      <c r="AC83" s="154">
        <v>0</v>
      </c>
      <c r="AD83" s="155">
        <v>0</v>
      </c>
      <c r="AE83" s="154">
        <v>0</v>
      </c>
      <c r="AF83" s="155">
        <f t="shared" si="11"/>
        <v>0</v>
      </c>
      <c r="AG83" s="156">
        <v>0</v>
      </c>
      <c r="AH83" s="193"/>
      <c r="AI83" s="186"/>
      <c r="AJ83" s="186"/>
      <c r="AK83" s="193">
        <f t="shared" si="8"/>
        <v>0</v>
      </c>
      <c r="AL83" s="193"/>
      <c r="AM83" s="193"/>
    </row>
    <row r="84" spans="1:64" s="129" customFormat="1" ht="18" customHeight="1">
      <c r="A84" s="269"/>
      <c r="B84" s="152" t="s">
        <v>341</v>
      </c>
      <c r="C84" s="195"/>
      <c r="D84" s="195"/>
      <c r="E84" s="142"/>
      <c r="F84" s="142"/>
      <c r="G84" s="142"/>
      <c r="H84" s="142"/>
      <c r="I84" s="139">
        <v>0</v>
      </c>
      <c r="J84" s="138"/>
      <c r="K84" s="140">
        <v>0</v>
      </c>
      <c r="L84" s="142"/>
      <c r="M84" s="138">
        <v>0</v>
      </c>
      <c r="N84" s="191">
        <v>0</v>
      </c>
      <c r="O84" s="138">
        <v>0</v>
      </c>
      <c r="P84" s="191">
        <v>0</v>
      </c>
      <c r="Q84" s="270">
        <v>0</v>
      </c>
      <c r="R84" s="138"/>
      <c r="S84" s="141">
        <v>0</v>
      </c>
      <c r="T84" s="142"/>
      <c r="U84" s="154">
        <v>0</v>
      </c>
      <c r="V84" s="154">
        <v>0</v>
      </c>
      <c r="W84" s="154">
        <v>0</v>
      </c>
      <c r="X84" s="171">
        <f t="shared" si="9"/>
        <v>0</v>
      </c>
      <c r="Y84" s="155">
        <v>0</v>
      </c>
      <c r="Z84" s="155">
        <f t="shared" si="10"/>
        <v>0</v>
      </c>
      <c r="AA84" s="155">
        <f t="shared" si="7"/>
        <v>0</v>
      </c>
      <c r="AB84" s="154">
        <v>0</v>
      </c>
      <c r="AC84" s="154">
        <v>0</v>
      </c>
      <c r="AD84" s="155">
        <v>0</v>
      </c>
      <c r="AE84" s="154">
        <v>0</v>
      </c>
      <c r="AF84" s="155">
        <f t="shared" si="11"/>
        <v>0</v>
      </c>
      <c r="AG84" s="156">
        <v>0</v>
      </c>
      <c r="AH84" s="193"/>
      <c r="AI84" s="186"/>
      <c r="AJ84" s="186"/>
      <c r="AK84" s="193">
        <f t="shared" si="8"/>
        <v>0</v>
      </c>
      <c r="AL84" s="193"/>
      <c r="AM84" s="193"/>
    </row>
    <row r="85" spans="1:64" s="129" customFormat="1" ht="28.5">
      <c r="A85" s="269"/>
      <c r="B85" s="152" t="s">
        <v>352</v>
      </c>
      <c r="C85" s="195"/>
      <c r="D85" s="195"/>
      <c r="E85" s="142"/>
      <c r="F85" s="142"/>
      <c r="G85" s="142"/>
      <c r="H85" s="142"/>
      <c r="I85" s="139"/>
      <c r="J85" s="138"/>
      <c r="K85" s="140"/>
      <c r="L85" s="142"/>
      <c r="M85" s="138"/>
      <c r="N85" s="191"/>
      <c r="O85" s="138"/>
      <c r="P85" s="191"/>
      <c r="Q85" s="270"/>
      <c r="R85" s="138"/>
      <c r="S85" s="141"/>
      <c r="T85" s="142"/>
      <c r="U85" s="154"/>
      <c r="V85" s="154"/>
      <c r="W85" s="154"/>
      <c r="X85" s="171"/>
      <c r="Y85" s="154"/>
      <c r="Z85" s="155"/>
      <c r="AA85" s="155"/>
      <c r="AB85" s="154"/>
      <c r="AC85" s="154"/>
      <c r="AD85" s="154"/>
      <c r="AE85" s="154"/>
      <c r="AF85" s="155"/>
      <c r="AG85" s="156"/>
      <c r="AH85" s="193"/>
      <c r="AI85" s="186"/>
      <c r="AJ85" s="186"/>
      <c r="AK85" s="193">
        <f t="shared" si="8"/>
        <v>0</v>
      </c>
      <c r="AL85" s="193"/>
      <c r="AM85" s="193"/>
    </row>
    <row r="86" spans="1:64" s="129" customFormat="1" ht="15.75">
      <c r="A86" s="269"/>
      <c r="B86" s="152" t="s">
        <v>311</v>
      </c>
      <c r="C86" s="195"/>
      <c r="D86" s="195"/>
      <c r="E86" s="142"/>
      <c r="F86" s="142"/>
      <c r="G86" s="142"/>
      <c r="H86" s="142"/>
      <c r="I86" s="139">
        <v>0</v>
      </c>
      <c r="J86" s="138"/>
      <c r="K86" s="140">
        <v>0</v>
      </c>
      <c r="L86" s="142"/>
      <c r="M86" s="138">
        <v>0</v>
      </c>
      <c r="N86" s="191">
        <v>0</v>
      </c>
      <c r="O86" s="138">
        <v>0</v>
      </c>
      <c r="P86" s="191">
        <v>0</v>
      </c>
      <c r="Q86" s="270">
        <v>0</v>
      </c>
      <c r="R86" s="138"/>
      <c r="S86" s="141">
        <v>0</v>
      </c>
      <c r="T86" s="142"/>
      <c r="U86" s="154">
        <v>0</v>
      </c>
      <c r="V86" s="154">
        <v>0</v>
      </c>
      <c r="W86" s="154">
        <v>0</v>
      </c>
      <c r="X86" s="171">
        <f t="shared" si="9"/>
        <v>0</v>
      </c>
      <c r="Y86" s="155">
        <v>0</v>
      </c>
      <c r="Z86" s="155">
        <f t="shared" si="10"/>
        <v>0</v>
      </c>
      <c r="AA86" s="155">
        <f t="shared" si="7"/>
        <v>0</v>
      </c>
      <c r="AB86" s="154">
        <v>0</v>
      </c>
      <c r="AC86" s="154">
        <v>0</v>
      </c>
      <c r="AD86" s="155">
        <v>0</v>
      </c>
      <c r="AE86" s="154">
        <v>0</v>
      </c>
      <c r="AF86" s="155">
        <f t="shared" si="11"/>
        <v>0</v>
      </c>
      <c r="AG86" s="156">
        <v>0</v>
      </c>
      <c r="AH86" s="193"/>
      <c r="AI86" s="186"/>
      <c r="AJ86" s="186"/>
      <c r="AK86" s="193">
        <f t="shared" si="8"/>
        <v>0</v>
      </c>
      <c r="AL86" s="193"/>
      <c r="AM86" s="193"/>
    </row>
    <row r="87" spans="1:64" s="129" customFormat="1" ht="15.75">
      <c r="A87" s="130"/>
      <c r="B87" s="152" t="s">
        <v>280</v>
      </c>
      <c r="C87" s="195"/>
      <c r="D87" s="195"/>
      <c r="E87" s="142"/>
      <c r="F87" s="142"/>
      <c r="G87" s="142"/>
      <c r="H87" s="142"/>
      <c r="I87" s="139">
        <v>0</v>
      </c>
      <c r="J87" s="138"/>
      <c r="K87" s="140">
        <v>0</v>
      </c>
      <c r="L87" s="142"/>
      <c r="M87" s="138">
        <v>0</v>
      </c>
      <c r="N87" s="191">
        <v>0</v>
      </c>
      <c r="O87" s="138">
        <v>0</v>
      </c>
      <c r="P87" s="191">
        <v>0</v>
      </c>
      <c r="Q87" s="270">
        <v>0</v>
      </c>
      <c r="R87" s="138"/>
      <c r="S87" s="141">
        <v>0</v>
      </c>
      <c r="T87" s="142"/>
      <c r="U87" s="154">
        <v>0</v>
      </c>
      <c r="V87" s="154">
        <v>0</v>
      </c>
      <c r="W87" s="154">
        <v>0</v>
      </c>
      <c r="X87" s="171">
        <f t="shared" si="9"/>
        <v>0</v>
      </c>
      <c r="Y87" s="155">
        <v>0</v>
      </c>
      <c r="Z87" s="155">
        <f t="shared" si="10"/>
        <v>0</v>
      </c>
      <c r="AA87" s="155">
        <f t="shared" si="7"/>
        <v>0</v>
      </c>
      <c r="AB87" s="154">
        <v>0</v>
      </c>
      <c r="AC87" s="154">
        <v>0</v>
      </c>
      <c r="AD87" s="155">
        <v>0</v>
      </c>
      <c r="AE87" s="154">
        <v>0</v>
      </c>
      <c r="AF87" s="155">
        <f t="shared" si="11"/>
        <v>0</v>
      </c>
      <c r="AG87" s="156">
        <v>0</v>
      </c>
      <c r="AH87" s="193"/>
      <c r="AI87" s="186"/>
      <c r="AJ87" s="186"/>
      <c r="AK87" s="193">
        <f t="shared" si="8"/>
        <v>0</v>
      </c>
      <c r="AL87" s="193"/>
      <c r="AM87" s="193"/>
    </row>
    <row r="88" spans="1:64" s="129" customFormat="1" ht="15">
      <c r="A88" s="174"/>
      <c r="B88" s="271" t="s">
        <v>353</v>
      </c>
      <c r="C88" s="272"/>
      <c r="D88" s="272"/>
      <c r="E88" s="174"/>
      <c r="F88" s="174"/>
      <c r="G88" s="174"/>
      <c r="H88" s="174"/>
      <c r="I88" s="176"/>
      <c r="J88" s="176"/>
      <c r="K88" s="176"/>
      <c r="L88" s="174"/>
      <c r="M88" s="176"/>
      <c r="N88" s="273"/>
      <c r="O88" s="176"/>
      <c r="P88" s="273"/>
      <c r="Q88" s="261">
        <v>60</v>
      </c>
      <c r="R88" s="176"/>
      <c r="S88" s="166">
        <v>35</v>
      </c>
      <c r="T88" s="174"/>
      <c r="U88" s="274">
        <f t="shared" ref="U88:W88" si="29">U81</f>
        <v>30.62</v>
      </c>
      <c r="V88" s="274">
        <f t="shared" si="29"/>
        <v>0</v>
      </c>
      <c r="W88" s="274">
        <f t="shared" si="29"/>
        <v>4.38</v>
      </c>
      <c r="X88" s="262">
        <f t="shared" si="9"/>
        <v>0</v>
      </c>
      <c r="Y88" s="166">
        <v>0</v>
      </c>
      <c r="Z88" s="166">
        <f t="shared" si="10"/>
        <v>0</v>
      </c>
      <c r="AA88" s="166">
        <f t="shared" si="7"/>
        <v>0</v>
      </c>
      <c r="AB88" s="178">
        <f t="shared" ref="AB88" si="30">AA88*100/Q88</f>
        <v>0</v>
      </c>
      <c r="AC88" s="166">
        <v>0</v>
      </c>
      <c r="AD88" s="166">
        <v>0</v>
      </c>
      <c r="AE88" s="166">
        <v>0</v>
      </c>
      <c r="AF88" s="166">
        <f t="shared" si="11"/>
        <v>0</v>
      </c>
      <c r="AG88" s="178">
        <f t="shared" si="27"/>
        <v>0</v>
      </c>
      <c r="AH88" s="275"/>
      <c r="AI88" s="215"/>
      <c r="AJ88" s="215"/>
      <c r="AK88" s="245">
        <f t="shared" si="8"/>
        <v>0</v>
      </c>
      <c r="AL88" s="245"/>
      <c r="AM88" s="245"/>
    </row>
    <row r="89" spans="1:64" s="282" customFormat="1" ht="33" customHeight="1">
      <c r="A89" s="637" t="s">
        <v>354</v>
      </c>
      <c r="B89" s="638"/>
      <c r="C89" s="638"/>
      <c r="D89" s="638"/>
      <c r="E89" s="638"/>
      <c r="F89" s="638"/>
      <c r="G89" s="638"/>
      <c r="H89" s="638"/>
      <c r="I89" s="638"/>
      <c r="J89" s="638"/>
      <c r="K89" s="638"/>
      <c r="L89" s="638"/>
      <c r="M89" s="638"/>
      <c r="N89" s="638"/>
      <c r="O89" s="638"/>
      <c r="P89" s="639"/>
      <c r="Q89" s="276">
        <f>Q88+Q77+Q65+Q42+Q23</f>
        <v>55030.111475750004</v>
      </c>
      <c r="R89" s="276"/>
      <c r="S89" s="277">
        <f>S88+S77+S65+S42+S23</f>
        <v>11290.050000000001</v>
      </c>
      <c r="T89" s="278"/>
      <c r="U89" s="277">
        <f t="shared" ref="U89:AM89" si="31">U88+U77+U65+U42+U23</f>
        <v>9846.7199999999993</v>
      </c>
      <c r="V89" s="277">
        <f t="shared" si="31"/>
        <v>105</v>
      </c>
      <c r="W89" s="277">
        <f t="shared" si="31"/>
        <v>1338.33</v>
      </c>
      <c r="X89" s="277">
        <f>X88+X77+X65+X42+X23</f>
        <v>3702.4070000000002</v>
      </c>
      <c r="Y89" s="277">
        <f>Y88+Y77+Y65+Y42+Y23</f>
        <v>100.5</v>
      </c>
      <c r="Z89" s="277">
        <f t="shared" si="31"/>
        <v>731.20600000000013</v>
      </c>
      <c r="AA89" s="277">
        <f t="shared" si="31"/>
        <v>4534.1130000000003</v>
      </c>
      <c r="AB89" s="279">
        <f>AA89*100/Q89</f>
        <v>8.2393309379321131</v>
      </c>
      <c r="AC89" s="277">
        <f t="shared" si="31"/>
        <v>3147.86</v>
      </c>
      <c r="AD89" s="277">
        <f>AD88+AD77+AD65+AD42+AD23</f>
        <v>100.5</v>
      </c>
      <c r="AE89" s="277">
        <f t="shared" si="31"/>
        <v>537.02200000000005</v>
      </c>
      <c r="AF89" s="277">
        <f>AF88+AF77+AF65+AF42+AF23</f>
        <v>3785.3820000000001</v>
      </c>
      <c r="AG89" s="279">
        <f>AF89*100/Q89</f>
        <v>6.8787467415327628</v>
      </c>
      <c r="AH89" s="280"/>
      <c r="AI89" s="281">
        <f t="shared" si="31"/>
        <v>388.53399999999999</v>
      </c>
      <c r="AJ89" s="281">
        <f t="shared" si="31"/>
        <v>191.874</v>
      </c>
      <c r="AK89" s="281">
        <f t="shared" si="31"/>
        <v>580.40800000000002</v>
      </c>
      <c r="AL89" s="281">
        <f t="shared" si="31"/>
        <v>0</v>
      </c>
      <c r="AM89" s="281">
        <f t="shared" si="31"/>
        <v>0</v>
      </c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6"/>
      <c r="BC89" s="246"/>
      <c r="BD89" s="246"/>
      <c r="BE89" s="246"/>
      <c r="BF89" s="246"/>
      <c r="BG89" s="246"/>
      <c r="BH89" s="246"/>
      <c r="BI89" s="246"/>
      <c r="BJ89" s="246"/>
      <c r="BK89" s="246"/>
      <c r="BL89" s="246"/>
    </row>
    <row r="90" spans="1:64" ht="15.75">
      <c r="A90" s="73"/>
      <c r="B90" s="73"/>
      <c r="C90" s="73"/>
      <c r="D90" s="73"/>
      <c r="E90" s="73"/>
      <c r="F90" s="73"/>
      <c r="G90" s="73"/>
      <c r="H90" s="73"/>
      <c r="I90" s="74"/>
      <c r="J90" s="73"/>
      <c r="K90" s="75"/>
      <c r="L90" s="73"/>
      <c r="M90" s="73"/>
      <c r="N90" s="76"/>
      <c r="O90" s="73"/>
      <c r="P90" s="73"/>
      <c r="Q90" s="74"/>
      <c r="R90" s="73"/>
      <c r="S90" s="283"/>
      <c r="T90" s="73"/>
      <c r="U90" s="73"/>
      <c r="V90" s="73"/>
      <c r="W90" s="73"/>
      <c r="X90" s="73"/>
      <c r="Y90" s="73"/>
      <c r="Z90" s="73"/>
      <c r="AA90" s="73"/>
      <c r="AB90" s="284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</row>
    <row r="91" spans="1:64">
      <c r="S91" s="287"/>
      <c r="X91" s="288"/>
      <c r="Y91" s="288"/>
      <c r="Z91" s="288"/>
      <c r="AA91" s="288"/>
      <c r="AC91" s="288"/>
      <c r="AD91" s="288"/>
      <c r="AE91" s="288"/>
      <c r="AF91" s="288"/>
      <c r="AI91" s="288">
        <f>AI23+AI42+AI65+AI77+AI88</f>
        <v>388.53399999999999</v>
      </c>
      <c r="AJ91" s="288">
        <f>AJ23+AJ42+AJ65+AJ77+AJ88</f>
        <v>191.874</v>
      </c>
      <c r="AK91" s="288">
        <f>AK23+AK42+AK65+AK77+AK88</f>
        <v>580.40800000000002</v>
      </c>
    </row>
    <row r="92" spans="1:64">
      <c r="AA92" s="290"/>
      <c r="AF92" s="290"/>
    </row>
    <row r="93" spans="1:64">
      <c r="X93" s="290"/>
    </row>
  </sheetData>
  <mergeCells count="35">
    <mergeCell ref="AI9:AL9"/>
    <mergeCell ref="A89:P89"/>
    <mergeCell ref="G6:G8"/>
    <mergeCell ref="H6:H8"/>
    <mergeCell ref="T7:T8"/>
    <mergeCell ref="U7:W7"/>
    <mergeCell ref="AM6:AM7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I6:P6"/>
    <mergeCell ref="Q6:W6"/>
    <mergeCell ref="X6:AG6"/>
    <mergeCell ref="AH6:AH7"/>
    <mergeCell ref="R7:R8"/>
    <mergeCell ref="S7:S8"/>
    <mergeCell ref="A1:T1"/>
    <mergeCell ref="B3:T3"/>
    <mergeCell ref="B4:T4"/>
    <mergeCell ref="AI5:AK5"/>
    <mergeCell ref="A6:A8"/>
    <mergeCell ref="B6:B8"/>
    <mergeCell ref="C6:C8"/>
    <mergeCell ref="D6:D8"/>
    <mergeCell ref="E6:E8"/>
    <mergeCell ref="F6:F8"/>
    <mergeCell ref="X7:AB7"/>
    <mergeCell ref="AC7:AG7"/>
    <mergeCell ref="AI7:AL7"/>
  </mergeCells>
  <pageMargins left="0.25" right="0.25" top="0.75" bottom="0.75" header="0.3" footer="0.3"/>
  <pageSetup paperSize="5" scale="4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7874-6072-45AE-992A-438881076FF4}">
  <dimension ref="A1:BB243"/>
  <sheetViews>
    <sheetView view="pageBreakPreview" zoomScale="98" zoomScaleNormal="84" zoomScaleSheetLayoutView="98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AD66" sqref="AD66"/>
    </sheetView>
  </sheetViews>
  <sheetFormatPr defaultColWidth="9.28515625" defaultRowHeight="12.75"/>
  <cols>
    <col min="1" max="1" width="9.42578125" style="119" customWidth="1"/>
    <col min="2" max="2" width="54.5703125" style="119" customWidth="1"/>
    <col min="3" max="3" width="21.85546875" style="119" customWidth="1"/>
    <col min="4" max="4" width="13.28515625" style="119" customWidth="1"/>
    <col min="5" max="5" width="14.140625" style="119" customWidth="1"/>
    <col min="6" max="7" width="9.28515625" style="119" customWidth="1"/>
    <col min="8" max="8" width="10.28515625" style="119" customWidth="1"/>
    <col min="9" max="9" width="11.28515625" style="119" customWidth="1"/>
    <col min="10" max="10" width="8.42578125" style="119" customWidth="1"/>
    <col min="11" max="11" width="9.85546875" style="466" customWidth="1"/>
    <col min="12" max="13" width="13.140625" style="119" customWidth="1"/>
    <col min="14" max="16" width="9.42578125" style="119" customWidth="1"/>
    <col min="17" max="17" width="13.28515625" style="463" customWidth="1"/>
    <col min="18" max="18" width="13.140625" style="119" bestFit="1" customWidth="1"/>
    <col min="19" max="19" width="13.140625" style="466" customWidth="1"/>
    <col min="20" max="20" width="15.28515625" style="119" customWidth="1"/>
    <col min="21" max="21" width="10.28515625" style="286" customWidth="1"/>
    <col min="22" max="22" width="10.140625" style="119" customWidth="1"/>
    <col min="23" max="23" width="9.140625" style="286" customWidth="1"/>
    <col min="24" max="25" width="7.5703125" style="119" customWidth="1"/>
    <col min="26" max="26" width="7.28515625" style="119" customWidth="1"/>
    <col min="27" max="27" width="8.28515625" style="119" customWidth="1"/>
    <col min="28" max="28" width="7.7109375" style="119" customWidth="1"/>
    <col min="29" max="30" width="7" style="119" customWidth="1"/>
    <col min="31" max="31" width="6" style="119" customWidth="1"/>
    <col min="32" max="32" width="7.140625" style="119" customWidth="1"/>
    <col min="33" max="33" width="7" style="119" customWidth="1"/>
    <col min="34" max="34" width="11.85546875" style="119" customWidth="1"/>
    <col min="35" max="35" width="7.7109375" style="119" hidden="1" customWidth="1"/>
    <col min="36" max="36" width="8" style="119" hidden="1" customWidth="1"/>
    <col min="37" max="37" width="7.7109375" style="119" hidden="1" customWidth="1"/>
    <col min="38" max="38" width="2.5703125" style="119" hidden="1" customWidth="1"/>
    <col min="39" max="39" width="5.42578125" style="292" hidden="1" customWidth="1"/>
    <col min="40" max="40" width="9.28515625" style="292" customWidth="1"/>
    <col min="41" max="16384" width="9.28515625" style="119"/>
  </cols>
  <sheetData>
    <row r="1" spans="1:40">
      <c r="A1" s="640" t="s">
        <v>355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291"/>
    </row>
    <row r="2" spans="1:40" ht="15.75">
      <c r="A2" s="73"/>
      <c r="B2" s="293" t="s">
        <v>71</v>
      </c>
      <c r="C2" s="293"/>
      <c r="D2" s="293"/>
      <c r="E2" s="293"/>
      <c r="F2" s="293"/>
      <c r="G2" s="293"/>
      <c r="H2" s="293"/>
      <c r="I2" s="293"/>
      <c r="J2" s="293"/>
      <c r="K2" s="294"/>
      <c r="L2" s="293"/>
      <c r="M2" s="293"/>
      <c r="N2" s="293"/>
      <c r="O2" s="293"/>
      <c r="P2" s="293"/>
      <c r="Q2" s="295"/>
      <c r="R2" s="293"/>
      <c r="S2" s="294"/>
      <c r="T2" s="293"/>
      <c r="U2" s="296"/>
      <c r="V2" s="293"/>
      <c r="W2" s="296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291"/>
    </row>
    <row r="3" spans="1:40" ht="15">
      <c r="A3" s="73"/>
      <c r="B3" s="641" t="s">
        <v>72</v>
      </c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291"/>
    </row>
    <row r="4" spans="1:40" ht="15.75" customHeight="1">
      <c r="A4" s="73"/>
      <c r="B4" s="641" t="s">
        <v>356</v>
      </c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291"/>
    </row>
    <row r="5" spans="1:40" ht="15.75">
      <c r="A5" s="73"/>
      <c r="B5" s="297" t="s">
        <v>357</v>
      </c>
      <c r="C5" s="293"/>
      <c r="D5" s="293"/>
      <c r="E5" s="293"/>
      <c r="F5" s="293"/>
      <c r="G5" s="293"/>
      <c r="H5" s="293"/>
      <c r="I5" s="293"/>
      <c r="J5" s="293"/>
      <c r="K5" s="294"/>
      <c r="L5" s="293"/>
      <c r="M5" s="293"/>
      <c r="N5" s="293"/>
      <c r="O5" s="293"/>
      <c r="P5" s="293"/>
      <c r="Q5" s="295"/>
      <c r="R5" s="293"/>
      <c r="S5" s="294"/>
      <c r="T5" s="293"/>
      <c r="U5" s="296"/>
      <c r="V5" s="293"/>
      <c r="W5" s="296"/>
      <c r="X5" s="642"/>
      <c r="Y5" s="642"/>
      <c r="Z5" s="642"/>
      <c r="AA5" s="73"/>
      <c r="AB5" s="73"/>
      <c r="AC5" s="73"/>
      <c r="AD5" s="73"/>
      <c r="AE5" s="73"/>
      <c r="AF5" s="73"/>
      <c r="AG5" s="73"/>
      <c r="AH5" s="73"/>
      <c r="AI5" s="643" t="s">
        <v>150</v>
      </c>
      <c r="AJ5" s="643"/>
      <c r="AK5" s="643"/>
      <c r="AL5" s="126"/>
      <c r="AM5" s="291"/>
    </row>
    <row r="6" spans="1:40" ht="29.25" customHeight="1">
      <c r="A6" s="644"/>
      <c r="B6" s="644" t="s">
        <v>358</v>
      </c>
      <c r="C6" s="644" t="s">
        <v>152</v>
      </c>
      <c r="D6" s="644" t="s">
        <v>153</v>
      </c>
      <c r="E6" s="644" t="s">
        <v>359</v>
      </c>
      <c r="F6" s="644" t="s">
        <v>155</v>
      </c>
      <c r="G6" s="644" t="s">
        <v>360</v>
      </c>
      <c r="H6" s="621" t="s">
        <v>592</v>
      </c>
      <c r="I6" s="644" t="s">
        <v>361</v>
      </c>
      <c r="J6" s="644"/>
      <c r="K6" s="644"/>
      <c r="L6" s="644"/>
      <c r="M6" s="644"/>
      <c r="N6" s="644"/>
      <c r="O6" s="131"/>
      <c r="P6" s="131"/>
      <c r="Q6" s="644" t="s">
        <v>362</v>
      </c>
      <c r="R6" s="644"/>
      <c r="S6" s="644"/>
      <c r="T6" s="644"/>
      <c r="U6" s="644"/>
      <c r="V6" s="644"/>
      <c r="W6" s="644"/>
      <c r="X6" s="624" t="s">
        <v>158</v>
      </c>
      <c r="Y6" s="625"/>
      <c r="Z6" s="625"/>
      <c r="AA6" s="625"/>
      <c r="AB6" s="625"/>
      <c r="AC6" s="625"/>
      <c r="AD6" s="625"/>
      <c r="AE6" s="625"/>
      <c r="AF6" s="625"/>
      <c r="AG6" s="626"/>
      <c r="AH6" s="644" t="s">
        <v>159</v>
      </c>
      <c r="AI6" s="243"/>
      <c r="AJ6" s="243"/>
      <c r="AK6" s="243"/>
      <c r="AL6" s="243"/>
      <c r="AM6" s="644" t="s">
        <v>159</v>
      </c>
      <c r="AN6" s="298"/>
    </row>
    <row r="7" spans="1:40" ht="28.5" customHeight="1">
      <c r="A7" s="644"/>
      <c r="B7" s="644"/>
      <c r="C7" s="644"/>
      <c r="D7" s="644"/>
      <c r="E7" s="644"/>
      <c r="F7" s="644"/>
      <c r="G7" s="644"/>
      <c r="H7" s="622"/>
      <c r="I7" s="644" t="s">
        <v>160</v>
      </c>
      <c r="J7" s="644" t="s">
        <v>363</v>
      </c>
      <c r="K7" s="645" t="s">
        <v>162</v>
      </c>
      <c r="L7" s="644" t="s">
        <v>163</v>
      </c>
      <c r="M7" s="644" t="s">
        <v>164</v>
      </c>
      <c r="N7" s="644" t="s">
        <v>0</v>
      </c>
      <c r="O7" s="644" t="s">
        <v>165</v>
      </c>
      <c r="P7" s="644" t="s">
        <v>0</v>
      </c>
      <c r="Q7" s="644" t="s">
        <v>160</v>
      </c>
      <c r="R7" s="644" t="s">
        <v>161</v>
      </c>
      <c r="S7" s="645" t="s">
        <v>162</v>
      </c>
      <c r="T7" s="644" t="s">
        <v>166</v>
      </c>
      <c r="U7" s="625" t="s">
        <v>167</v>
      </c>
      <c r="V7" s="625"/>
      <c r="W7" s="626"/>
      <c r="X7" s="644" t="s">
        <v>168</v>
      </c>
      <c r="Y7" s="644"/>
      <c r="Z7" s="644"/>
      <c r="AA7" s="644"/>
      <c r="AB7" s="644"/>
      <c r="AC7" s="644" t="s">
        <v>169</v>
      </c>
      <c r="AD7" s="644"/>
      <c r="AE7" s="644"/>
      <c r="AF7" s="644"/>
      <c r="AG7" s="644"/>
      <c r="AH7" s="644"/>
      <c r="AI7" s="644" t="s">
        <v>170</v>
      </c>
      <c r="AJ7" s="644"/>
      <c r="AK7" s="644"/>
      <c r="AL7" s="644"/>
      <c r="AM7" s="644"/>
      <c r="AN7" s="299"/>
    </row>
    <row r="8" spans="1:40" ht="45" customHeight="1">
      <c r="A8" s="644"/>
      <c r="B8" s="644"/>
      <c r="C8" s="644"/>
      <c r="D8" s="644"/>
      <c r="E8" s="644"/>
      <c r="F8" s="644"/>
      <c r="G8" s="644"/>
      <c r="H8" s="623"/>
      <c r="I8" s="644"/>
      <c r="J8" s="644"/>
      <c r="K8" s="645"/>
      <c r="L8" s="644"/>
      <c r="M8" s="644"/>
      <c r="N8" s="644"/>
      <c r="O8" s="644"/>
      <c r="P8" s="644"/>
      <c r="Q8" s="644"/>
      <c r="R8" s="644"/>
      <c r="S8" s="645"/>
      <c r="T8" s="644"/>
      <c r="U8" s="131" t="s">
        <v>3</v>
      </c>
      <c r="V8" s="131" t="s">
        <v>4</v>
      </c>
      <c r="W8" s="131" t="s">
        <v>1</v>
      </c>
      <c r="X8" s="131" t="s">
        <v>3</v>
      </c>
      <c r="Y8" s="131" t="s">
        <v>4</v>
      </c>
      <c r="Z8" s="131" t="s">
        <v>1</v>
      </c>
      <c r="AA8" s="131" t="s">
        <v>2</v>
      </c>
      <c r="AB8" s="131" t="s">
        <v>0</v>
      </c>
      <c r="AC8" s="131" t="s">
        <v>3</v>
      </c>
      <c r="AD8" s="131" t="s">
        <v>4</v>
      </c>
      <c r="AE8" s="131" t="s">
        <v>1</v>
      </c>
      <c r="AF8" s="131" t="s">
        <v>2</v>
      </c>
      <c r="AG8" s="131" t="s">
        <v>0</v>
      </c>
      <c r="AH8" s="131"/>
      <c r="AI8" s="131" t="s">
        <v>172</v>
      </c>
      <c r="AJ8" s="131" t="s">
        <v>1</v>
      </c>
      <c r="AK8" s="131" t="s">
        <v>2</v>
      </c>
      <c r="AL8" s="131" t="s">
        <v>0</v>
      </c>
      <c r="AM8" s="300"/>
      <c r="AN8" s="299"/>
    </row>
    <row r="9" spans="1:40" ht="23.25" customHeight="1">
      <c r="A9" s="131"/>
      <c r="B9" s="130" t="s">
        <v>173</v>
      </c>
      <c r="C9" s="130" t="s">
        <v>174</v>
      </c>
      <c r="D9" s="130" t="s">
        <v>175</v>
      </c>
      <c r="E9" s="130" t="s">
        <v>176</v>
      </c>
      <c r="F9" s="130" t="s">
        <v>177</v>
      </c>
      <c r="G9" s="130" t="s">
        <v>178</v>
      </c>
      <c r="H9" s="130" t="s">
        <v>179</v>
      </c>
      <c r="I9" s="133" t="s">
        <v>180</v>
      </c>
      <c r="J9" s="130" t="s">
        <v>181</v>
      </c>
      <c r="K9" s="134" t="s">
        <v>182</v>
      </c>
      <c r="L9" s="130" t="s">
        <v>183</v>
      </c>
      <c r="M9" s="130" t="s">
        <v>184</v>
      </c>
      <c r="N9" s="135" t="s">
        <v>185</v>
      </c>
      <c r="O9" s="130" t="s">
        <v>186</v>
      </c>
      <c r="P9" s="135" t="s">
        <v>187</v>
      </c>
      <c r="Q9" s="133" t="s">
        <v>188</v>
      </c>
      <c r="R9" s="130" t="s">
        <v>189</v>
      </c>
      <c r="S9" s="134" t="s">
        <v>190</v>
      </c>
      <c r="T9" s="130" t="s">
        <v>191</v>
      </c>
      <c r="U9" s="131" t="s">
        <v>192</v>
      </c>
      <c r="V9" s="131" t="s">
        <v>193</v>
      </c>
      <c r="W9" s="131" t="s">
        <v>194</v>
      </c>
      <c r="X9" s="131" t="s">
        <v>195</v>
      </c>
      <c r="Y9" s="131" t="s">
        <v>196</v>
      </c>
      <c r="Z9" s="131" t="s">
        <v>197</v>
      </c>
      <c r="AA9" s="131" t="s">
        <v>198</v>
      </c>
      <c r="AB9" s="131" t="s">
        <v>199</v>
      </c>
      <c r="AC9" s="131" t="s">
        <v>200</v>
      </c>
      <c r="AD9" s="131" t="s">
        <v>201</v>
      </c>
      <c r="AE9" s="131" t="s">
        <v>202</v>
      </c>
      <c r="AF9" s="131" t="s">
        <v>203</v>
      </c>
      <c r="AG9" s="131" t="s">
        <v>204</v>
      </c>
      <c r="AH9" s="131" t="s">
        <v>205</v>
      </c>
      <c r="AI9" s="644" t="s">
        <v>195</v>
      </c>
      <c r="AJ9" s="644"/>
      <c r="AK9" s="644"/>
      <c r="AL9" s="644"/>
      <c r="AM9" s="131" t="s">
        <v>196</v>
      </c>
      <c r="AN9" s="299"/>
    </row>
    <row r="10" spans="1:40" ht="25.5">
      <c r="A10" s="301" t="s">
        <v>364</v>
      </c>
      <c r="B10" s="169" t="s">
        <v>365</v>
      </c>
      <c r="C10" s="302"/>
      <c r="D10" s="302"/>
      <c r="E10" s="302"/>
      <c r="F10" s="302"/>
      <c r="G10" s="302"/>
      <c r="H10" s="302"/>
      <c r="I10" s="302"/>
      <c r="J10" s="302"/>
      <c r="K10" s="223"/>
      <c r="L10" s="302"/>
      <c r="M10" s="302"/>
      <c r="N10" s="303"/>
      <c r="O10" s="303"/>
      <c r="P10" s="303"/>
      <c r="Q10" s="138"/>
      <c r="R10" s="303"/>
      <c r="S10" s="304"/>
      <c r="T10" s="303"/>
      <c r="U10" s="305"/>
      <c r="V10" s="303"/>
      <c r="W10" s="305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6"/>
    </row>
    <row r="11" spans="1:40" ht="27.6" customHeight="1">
      <c r="A11" s="301" t="s">
        <v>366</v>
      </c>
      <c r="B11" s="169" t="s">
        <v>367</v>
      </c>
      <c r="C11" s="307" t="s">
        <v>368</v>
      </c>
      <c r="D11" s="307"/>
      <c r="E11" s="302"/>
      <c r="F11" s="302"/>
      <c r="G11" s="302"/>
      <c r="H11" s="302"/>
      <c r="I11" s="302"/>
      <c r="J11" s="302"/>
      <c r="K11" s="223"/>
      <c r="L11" s="302"/>
      <c r="M11" s="302"/>
      <c r="N11" s="303"/>
      <c r="O11" s="303"/>
      <c r="P11" s="303"/>
      <c r="Q11" s="138"/>
      <c r="R11" s="303"/>
      <c r="S11" s="304"/>
      <c r="T11" s="303"/>
      <c r="U11" s="305"/>
      <c r="V11" s="303"/>
      <c r="W11" s="305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6"/>
    </row>
    <row r="12" spans="1:40">
      <c r="A12" s="308"/>
      <c r="B12" s="309" t="s">
        <v>369</v>
      </c>
      <c r="C12" s="302"/>
      <c r="D12" s="302"/>
      <c r="E12" s="302"/>
      <c r="F12" s="302"/>
      <c r="G12" s="302"/>
      <c r="H12" s="302"/>
      <c r="I12" s="302"/>
      <c r="J12" s="302"/>
      <c r="K12" s="223"/>
      <c r="L12" s="302"/>
      <c r="M12" s="302"/>
      <c r="N12" s="303"/>
      <c r="O12" s="303"/>
      <c r="P12" s="303"/>
      <c r="Q12" s="138"/>
      <c r="R12" s="303"/>
      <c r="S12" s="310"/>
      <c r="T12" s="303"/>
      <c r="U12" s="305"/>
      <c r="V12" s="303"/>
      <c r="W12" s="305"/>
      <c r="X12" s="303"/>
      <c r="Y12" s="303"/>
      <c r="Z12" s="303"/>
      <c r="AA12" s="303"/>
      <c r="AB12" s="303"/>
      <c r="AC12" s="303"/>
      <c r="AD12" s="303"/>
      <c r="AE12" s="303"/>
      <c r="AF12" s="303"/>
      <c r="AG12" s="305"/>
      <c r="AH12" s="303"/>
      <c r="AI12" s="303"/>
      <c r="AJ12" s="303"/>
      <c r="AK12" s="303"/>
      <c r="AL12" s="303"/>
      <c r="AM12" s="306"/>
    </row>
    <row r="13" spans="1:40" s="324" customFormat="1">
      <c r="A13" s="647"/>
      <c r="B13" s="172" t="s">
        <v>370</v>
      </c>
      <c r="C13" s="311"/>
      <c r="D13" s="311"/>
      <c r="E13" s="142" t="s">
        <v>371</v>
      </c>
      <c r="F13" s="138" t="s">
        <v>372</v>
      </c>
      <c r="G13" s="138" t="s">
        <v>373</v>
      </c>
      <c r="H13" s="138" t="s">
        <v>374</v>
      </c>
      <c r="I13" s="138">
        <v>7000</v>
      </c>
      <c r="J13" s="138"/>
      <c r="K13" s="140" t="s">
        <v>126</v>
      </c>
      <c r="L13" s="312"/>
      <c r="M13" s="313">
        <v>0</v>
      </c>
      <c r="N13" s="314">
        <v>0</v>
      </c>
      <c r="O13" s="314">
        <v>0</v>
      </c>
      <c r="P13" s="314">
        <v>0</v>
      </c>
      <c r="Q13" s="315">
        <v>672</v>
      </c>
      <c r="R13" s="314"/>
      <c r="S13" s="316"/>
      <c r="T13" s="317" t="s">
        <v>261</v>
      </c>
      <c r="U13" s="318"/>
      <c r="V13" s="319"/>
      <c r="W13" s="320"/>
      <c r="X13" s="319">
        <v>0</v>
      </c>
      <c r="Y13" s="319">
        <v>0</v>
      </c>
      <c r="Z13" s="319">
        <v>0</v>
      </c>
      <c r="AA13" s="319">
        <f>SUM(X13:Z13)</f>
        <v>0</v>
      </c>
      <c r="AB13" s="156">
        <f>AA13*100/Q13</f>
        <v>0</v>
      </c>
      <c r="AC13" s="319">
        <v>0</v>
      </c>
      <c r="AD13" s="319">
        <v>0</v>
      </c>
      <c r="AE13" s="319">
        <v>0</v>
      </c>
      <c r="AF13" s="319">
        <f>SUM(AC13:AE13)</f>
        <v>0</v>
      </c>
      <c r="AG13" s="156">
        <f>AF13*100/Q13</f>
        <v>0</v>
      </c>
      <c r="AH13" s="314"/>
      <c r="AI13" s="321"/>
      <c r="AJ13" s="321"/>
      <c r="AK13" s="321">
        <f>AJ13+AI13</f>
        <v>0</v>
      </c>
      <c r="AL13" s="314"/>
      <c r="AM13" s="322"/>
      <c r="AN13" s="323"/>
    </row>
    <row r="14" spans="1:40" ht="13.15" customHeight="1">
      <c r="A14" s="648"/>
      <c r="B14" s="172" t="s">
        <v>375</v>
      </c>
      <c r="C14" s="325"/>
      <c r="D14" s="325"/>
      <c r="E14" s="142" t="s">
        <v>371</v>
      </c>
      <c r="F14" s="138" t="s">
        <v>372</v>
      </c>
      <c r="G14" s="138" t="s">
        <v>376</v>
      </c>
      <c r="H14" s="138" t="s">
        <v>377</v>
      </c>
      <c r="I14" s="138">
        <v>8000</v>
      </c>
      <c r="J14" s="138"/>
      <c r="K14" s="140" t="s">
        <v>126</v>
      </c>
      <c r="L14" s="326"/>
      <c r="M14" s="327">
        <v>0</v>
      </c>
      <c r="N14" s="303">
        <v>0</v>
      </c>
      <c r="O14" s="303">
        <v>0</v>
      </c>
      <c r="P14" s="303">
        <v>0</v>
      </c>
      <c r="Q14" s="315">
        <v>512</v>
      </c>
      <c r="R14" s="303"/>
      <c r="S14" s="328"/>
      <c r="T14" s="317" t="s">
        <v>261</v>
      </c>
      <c r="U14" s="329"/>
      <c r="V14" s="319">
        <v>0</v>
      </c>
      <c r="W14" s="330"/>
      <c r="X14" s="319">
        <v>0</v>
      </c>
      <c r="Y14" s="319">
        <v>0</v>
      </c>
      <c r="Z14" s="319">
        <v>0</v>
      </c>
      <c r="AA14" s="319">
        <f t="shared" ref="AA14:AA19" si="0">SUM(X14:Z14)</f>
        <v>0</v>
      </c>
      <c r="AB14" s="156">
        <f t="shared" ref="AB14:AB69" si="1">AA14*100/Q14</f>
        <v>0</v>
      </c>
      <c r="AC14" s="319">
        <v>0</v>
      </c>
      <c r="AD14" s="319">
        <v>0</v>
      </c>
      <c r="AE14" s="319">
        <v>0</v>
      </c>
      <c r="AF14" s="319">
        <f t="shared" ref="AF14:AF19" si="2">SUM(AC14:AE14)</f>
        <v>0</v>
      </c>
      <c r="AG14" s="156">
        <f t="shared" ref="AG14:AG70" si="3">AF14*100/Q14</f>
        <v>0</v>
      </c>
      <c r="AH14" s="303"/>
      <c r="AI14" s="303"/>
      <c r="AJ14" s="303"/>
      <c r="AK14" s="321">
        <f t="shared" ref="AK14:AK77" si="4">AJ14+AI14</f>
        <v>0</v>
      </c>
      <c r="AL14" s="303"/>
      <c r="AM14" s="306"/>
    </row>
    <row r="15" spans="1:40" ht="24.75" customHeight="1">
      <c r="A15" s="648"/>
      <c r="B15" s="172" t="s">
        <v>378</v>
      </c>
      <c r="C15" s="325"/>
      <c r="D15" s="325"/>
      <c r="E15" s="142" t="s">
        <v>379</v>
      </c>
      <c r="F15" s="138" t="s">
        <v>267</v>
      </c>
      <c r="G15" s="138"/>
      <c r="H15" s="138" t="s">
        <v>374</v>
      </c>
      <c r="I15" s="138">
        <v>16</v>
      </c>
      <c r="J15" s="138">
        <v>6</v>
      </c>
      <c r="K15" s="140" t="s">
        <v>126</v>
      </c>
      <c r="L15" s="326"/>
      <c r="M15" s="327">
        <v>0</v>
      </c>
      <c r="N15" s="303">
        <v>0</v>
      </c>
      <c r="O15" s="331">
        <v>0</v>
      </c>
      <c r="P15" s="303">
        <v>0</v>
      </c>
      <c r="Q15" s="315">
        <v>64</v>
      </c>
      <c r="R15" s="303"/>
      <c r="S15" s="328"/>
      <c r="T15" s="142" t="s">
        <v>261</v>
      </c>
      <c r="U15" s="329"/>
      <c r="V15" s="319">
        <v>0</v>
      </c>
      <c r="W15" s="330"/>
      <c r="X15" s="319">
        <v>0</v>
      </c>
      <c r="Y15" s="319">
        <v>0</v>
      </c>
      <c r="Z15" s="319">
        <v>0</v>
      </c>
      <c r="AA15" s="319">
        <f t="shared" si="0"/>
        <v>0</v>
      </c>
      <c r="AB15" s="156">
        <f t="shared" si="1"/>
        <v>0</v>
      </c>
      <c r="AC15" s="319">
        <v>0</v>
      </c>
      <c r="AD15" s="319">
        <v>0</v>
      </c>
      <c r="AE15" s="319">
        <v>0</v>
      </c>
      <c r="AF15" s="319">
        <f t="shared" si="2"/>
        <v>0</v>
      </c>
      <c r="AG15" s="156">
        <f t="shared" si="3"/>
        <v>0</v>
      </c>
      <c r="AH15" s="303"/>
      <c r="AI15" s="303"/>
      <c r="AJ15" s="303"/>
      <c r="AK15" s="321">
        <f t="shared" si="4"/>
        <v>0</v>
      </c>
      <c r="AL15" s="303"/>
      <c r="AM15" s="306"/>
    </row>
    <row r="16" spans="1:40">
      <c r="A16" s="648"/>
      <c r="B16" s="172" t="s">
        <v>380</v>
      </c>
      <c r="C16" s="325"/>
      <c r="D16" s="325"/>
      <c r="E16" s="142" t="s">
        <v>266</v>
      </c>
      <c r="F16" s="138" t="s">
        <v>267</v>
      </c>
      <c r="G16" s="138"/>
      <c r="H16" s="138" t="s">
        <v>374</v>
      </c>
      <c r="I16" s="138">
        <v>1</v>
      </c>
      <c r="J16" s="138"/>
      <c r="K16" s="140" t="s">
        <v>126</v>
      </c>
      <c r="L16" s="326"/>
      <c r="M16" s="327">
        <v>0</v>
      </c>
      <c r="N16" s="303">
        <v>0</v>
      </c>
      <c r="O16" s="331">
        <v>0</v>
      </c>
      <c r="P16" s="303">
        <v>0</v>
      </c>
      <c r="Q16" s="315">
        <v>40</v>
      </c>
      <c r="R16" s="303"/>
      <c r="S16" s="328"/>
      <c r="T16" s="317" t="s">
        <v>261</v>
      </c>
      <c r="U16" s="329"/>
      <c r="V16" s="319">
        <v>0</v>
      </c>
      <c r="W16" s="330"/>
      <c r="X16" s="319">
        <v>0</v>
      </c>
      <c r="Y16" s="319">
        <v>0</v>
      </c>
      <c r="Z16" s="319">
        <v>0</v>
      </c>
      <c r="AA16" s="319">
        <f t="shared" si="0"/>
        <v>0</v>
      </c>
      <c r="AB16" s="156">
        <f t="shared" si="1"/>
        <v>0</v>
      </c>
      <c r="AC16" s="319">
        <v>0</v>
      </c>
      <c r="AD16" s="319">
        <v>0</v>
      </c>
      <c r="AE16" s="319">
        <v>0</v>
      </c>
      <c r="AF16" s="319">
        <f t="shared" si="2"/>
        <v>0</v>
      </c>
      <c r="AG16" s="156">
        <f t="shared" si="3"/>
        <v>0</v>
      </c>
      <c r="AH16" s="303"/>
      <c r="AI16" s="303"/>
      <c r="AJ16" s="303"/>
      <c r="AK16" s="321">
        <f t="shared" si="4"/>
        <v>0</v>
      </c>
      <c r="AL16" s="303"/>
      <c r="AM16" s="306"/>
    </row>
    <row r="17" spans="1:54">
      <c r="A17" s="648"/>
      <c r="B17" s="332" t="s">
        <v>381</v>
      </c>
      <c r="C17" s="333"/>
      <c r="D17" s="333"/>
      <c r="E17" s="151" t="s">
        <v>266</v>
      </c>
      <c r="F17" s="334" t="s">
        <v>267</v>
      </c>
      <c r="G17" s="334"/>
      <c r="H17" s="138" t="s">
        <v>374</v>
      </c>
      <c r="I17" s="334">
        <v>1</v>
      </c>
      <c r="J17" s="334"/>
      <c r="K17" s="140" t="s">
        <v>126</v>
      </c>
      <c r="L17" s="335"/>
      <c r="M17" s="327">
        <v>0</v>
      </c>
      <c r="N17" s="336">
        <v>0</v>
      </c>
      <c r="O17" s="337">
        <v>0</v>
      </c>
      <c r="P17" s="336">
        <v>0</v>
      </c>
      <c r="Q17" s="338">
        <v>16</v>
      </c>
      <c r="R17" s="336"/>
      <c r="S17" s="328"/>
      <c r="T17" s="317" t="s">
        <v>261</v>
      </c>
      <c r="U17" s="329"/>
      <c r="V17" s="320">
        <v>0</v>
      </c>
      <c r="W17" s="330"/>
      <c r="X17" s="319">
        <v>0</v>
      </c>
      <c r="Y17" s="319">
        <v>0</v>
      </c>
      <c r="Z17" s="319">
        <v>0</v>
      </c>
      <c r="AA17" s="319">
        <f t="shared" si="0"/>
        <v>0</v>
      </c>
      <c r="AB17" s="156">
        <f t="shared" si="1"/>
        <v>0</v>
      </c>
      <c r="AC17" s="319">
        <v>0</v>
      </c>
      <c r="AD17" s="319">
        <v>0</v>
      </c>
      <c r="AE17" s="319">
        <v>0</v>
      </c>
      <c r="AF17" s="319">
        <f t="shared" si="2"/>
        <v>0</v>
      </c>
      <c r="AG17" s="156">
        <f t="shared" si="3"/>
        <v>0</v>
      </c>
      <c r="AH17" s="336"/>
      <c r="AI17" s="336"/>
      <c r="AJ17" s="336"/>
      <c r="AK17" s="321">
        <f t="shared" si="4"/>
        <v>0</v>
      </c>
      <c r="AL17" s="336"/>
      <c r="AM17" s="339"/>
    </row>
    <row r="18" spans="1:54" s="341" customFormat="1">
      <c r="A18" s="648"/>
      <c r="B18" s="172" t="s">
        <v>382</v>
      </c>
      <c r="C18" s="325"/>
      <c r="D18" s="325"/>
      <c r="E18" s="142" t="s">
        <v>256</v>
      </c>
      <c r="F18" s="138" t="s">
        <v>126</v>
      </c>
      <c r="G18" s="138"/>
      <c r="H18" s="138" t="s">
        <v>374</v>
      </c>
      <c r="I18" s="138" t="s">
        <v>126</v>
      </c>
      <c r="J18" s="138"/>
      <c r="K18" s="140" t="s">
        <v>126</v>
      </c>
      <c r="L18" s="326"/>
      <c r="M18" s="327">
        <v>0</v>
      </c>
      <c r="N18" s="303">
        <v>0</v>
      </c>
      <c r="O18" s="331">
        <v>0</v>
      </c>
      <c r="P18" s="303">
        <v>0</v>
      </c>
      <c r="Q18" s="315">
        <v>336</v>
      </c>
      <c r="R18" s="303"/>
      <c r="S18" s="328"/>
      <c r="T18" s="317" t="s">
        <v>261</v>
      </c>
      <c r="U18" s="329"/>
      <c r="V18" s="319">
        <v>0</v>
      </c>
      <c r="W18" s="330"/>
      <c r="X18" s="319">
        <v>0</v>
      </c>
      <c r="Y18" s="319">
        <v>0</v>
      </c>
      <c r="Z18" s="319">
        <v>0</v>
      </c>
      <c r="AA18" s="319">
        <f t="shared" si="0"/>
        <v>0</v>
      </c>
      <c r="AB18" s="156">
        <f t="shared" si="1"/>
        <v>0</v>
      </c>
      <c r="AC18" s="319">
        <v>0</v>
      </c>
      <c r="AD18" s="319">
        <v>0</v>
      </c>
      <c r="AE18" s="319">
        <v>0</v>
      </c>
      <c r="AF18" s="319">
        <f t="shared" si="2"/>
        <v>0</v>
      </c>
      <c r="AG18" s="156">
        <f t="shared" si="3"/>
        <v>0</v>
      </c>
      <c r="AH18" s="303"/>
      <c r="AI18" s="303"/>
      <c r="AJ18" s="303"/>
      <c r="AK18" s="321">
        <f t="shared" si="4"/>
        <v>0</v>
      </c>
      <c r="AL18" s="303"/>
      <c r="AM18" s="306"/>
      <c r="AN18" s="340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</row>
    <row r="19" spans="1:54" ht="14.45" customHeight="1">
      <c r="A19" s="648"/>
      <c r="B19" s="342" t="s">
        <v>383</v>
      </c>
      <c r="C19" s="343"/>
      <c r="D19" s="343"/>
      <c r="E19" s="173" t="s">
        <v>266</v>
      </c>
      <c r="F19" s="344" t="s">
        <v>267</v>
      </c>
      <c r="G19" s="344" t="s">
        <v>384</v>
      </c>
      <c r="H19" s="344" t="s">
        <v>377</v>
      </c>
      <c r="I19" s="344">
        <v>4</v>
      </c>
      <c r="J19" s="344"/>
      <c r="K19" s="140" t="s">
        <v>126</v>
      </c>
      <c r="L19" s="345"/>
      <c r="M19" s="327">
        <v>0</v>
      </c>
      <c r="N19" s="346">
        <v>0</v>
      </c>
      <c r="O19" s="347">
        <v>0</v>
      </c>
      <c r="P19" s="346">
        <v>0</v>
      </c>
      <c r="Q19" s="348">
        <v>16</v>
      </c>
      <c r="R19" s="346"/>
      <c r="S19" s="349"/>
      <c r="T19" s="317" t="s">
        <v>261</v>
      </c>
      <c r="U19" s="350"/>
      <c r="V19" s="351">
        <v>0</v>
      </c>
      <c r="W19" s="352"/>
      <c r="X19" s="319">
        <v>0</v>
      </c>
      <c r="Y19" s="319">
        <v>0</v>
      </c>
      <c r="Z19" s="319">
        <v>0</v>
      </c>
      <c r="AA19" s="319">
        <f t="shared" si="0"/>
        <v>0</v>
      </c>
      <c r="AB19" s="156">
        <f t="shared" si="1"/>
        <v>0</v>
      </c>
      <c r="AC19" s="319">
        <v>0</v>
      </c>
      <c r="AD19" s="319">
        <v>0</v>
      </c>
      <c r="AE19" s="319">
        <v>0</v>
      </c>
      <c r="AF19" s="319">
        <f t="shared" si="2"/>
        <v>0</v>
      </c>
      <c r="AG19" s="156">
        <f t="shared" si="3"/>
        <v>0</v>
      </c>
      <c r="AH19" s="346"/>
      <c r="AI19" s="346"/>
      <c r="AJ19" s="346"/>
      <c r="AK19" s="321">
        <f t="shared" si="4"/>
        <v>0</v>
      </c>
      <c r="AL19" s="346"/>
      <c r="AM19" s="353"/>
    </row>
    <row r="20" spans="1:54" ht="14.45" customHeight="1">
      <c r="A20" s="354"/>
      <c r="B20" s="355" t="s">
        <v>385</v>
      </c>
      <c r="C20" s="343"/>
      <c r="D20" s="343"/>
      <c r="E20" s="173"/>
      <c r="F20" s="344"/>
      <c r="G20" s="344"/>
      <c r="H20" s="344"/>
      <c r="I20" s="344"/>
      <c r="J20" s="344"/>
      <c r="K20" s="140" t="s">
        <v>126</v>
      </c>
      <c r="L20" s="345"/>
      <c r="M20" s="356"/>
      <c r="N20" s="357"/>
      <c r="O20" s="358"/>
      <c r="P20" s="357"/>
      <c r="Q20" s="359">
        <f>SUM(Q13:Q19)</f>
        <v>1656</v>
      </c>
      <c r="R20" s="357"/>
      <c r="S20" s="349">
        <v>310.66000000000003</v>
      </c>
      <c r="T20" s="360"/>
      <c r="U20" s="361">
        <f>S20-W20</f>
        <v>271.83000000000004</v>
      </c>
      <c r="V20" s="362">
        <v>0</v>
      </c>
      <c r="W20" s="363">
        <v>38.83</v>
      </c>
      <c r="X20" s="364">
        <f>SUM(X13:X19)</f>
        <v>0</v>
      </c>
      <c r="Y20" s="364">
        <f>SUM(Y13:Y19)</f>
        <v>0</v>
      </c>
      <c r="Z20" s="364">
        <f t="shared" ref="Z20:AA20" si="5">SUM(Z13:Z19)</f>
        <v>0</v>
      </c>
      <c r="AA20" s="364">
        <f t="shared" si="5"/>
        <v>0</v>
      </c>
      <c r="AB20" s="156">
        <f t="shared" si="1"/>
        <v>0</v>
      </c>
      <c r="AC20" s="364">
        <f>SUM(AC13:AC19)</f>
        <v>0</v>
      </c>
      <c r="AD20" s="364">
        <f>SUM(AD13:AD19)</f>
        <v>0</v>
      </c>
      <c r="AE20" s="364">
        <f t="shared" ref="AE20:AF20" si="6">SUM(AE13:AE19)</f>
        <v>0</v>
      </c>
      <c r="AF20" s="364">
        <f t="shared" si="6"/>
        <v>0</v>
      </c>
      <c r="AG20" s="156">
        <f t="shared" si="3"/>
        <v>0</v>
      </c>
      <c r="AH20" s="365"/>
      <c r="AI20" s="366">
        <f t="shared" ref="AI20:AM20" si="7">SUM(AI13:AI19)</f>
        <v>0</v>
      </c>
      <c r="AJ20" s="366">
        <f t="shared" si="7"/>
        <v>0</v>
      </c>
      <c r="AK20" s="366">
        <f t="shared" si="7"/>
        <v>0</v>
      </c>
      <c r="AL20" s="366">
        <f t="shared" si="7"/>
        <v>0</v>
      </c>
      <c r="AM20" s="366">
        <f t="shared" si="7"/>
        <v>0</v>
      </c>
    </row>
    <row r="21" spans="1:54" ht="25.5">
      <c r="A21" s="367"/>
      <c r="B21" s="169" t="s">
        <v>386</v>
      </c>
      <c r="C21" s="325"/>
      <c r="D21" s="325"/>
      <c r="E21" s="142"/>
      <c r="F21" s="138"/>
      <c r="G21" s="138"/>
      <c r="H21" s="138"/>
      <c r="I21" s="138"/>
      <c r="J21" s="138"/>
      <c r="K21" s="140"/>
      <c r="L21" s="326"/>
      <c r="M21" s="327"/>
      <c r="N21" s="303"/>
      <c r="O21" s="331"/>
      <c r="P21" s="303"/>
      <c r="Q21" s="315"/>
      <c r="R21" s="303"/>
      <c r="S21" s="310"/>
      <c r="T21" s="302"/>
      <c r="U21" s="194"/>
      <c r="V21" s="195"/>
      <c r="W21" s="198"/>
      <c r="X21" s="319"/>
      <c r="Y21" s="319"/>
      <c r="Z21" s="319"/>
      <c r="AA21" s="319"/>
      <c r="AB21" s="156"/>
      <c r="AC21" s="319"/>
      <c r="AD21" s="319"/>
      <c r="AE21" s="319"/>
      <c r="AF21" s="319"/>
      <c r="AG21" s="156"/>
      <c r="AH21" s="303"/>
      <c r="AI21" s="303"/>
      <c r="AJ21" s="303"/>
      <c r="AK21" s="321">
        <f t="shared" si="4"/>
        <v>0</v>
      </c>
      <c r="AL21" s="303"/>
      <c r="AM21" s="306"/>
    </row>
    <row r="22" spans="1:54">
      <c r="A22" s="367"/>
      <c r="B22" s="169" t="s">
        <v>387</v>
      </c>
      <c r="C22" s="325"/>
      <c r="D22" s="325"/>
      <c r="E22" s="142"/>
      <c r="F22" s="138"/>
      <c r="G22" s="138"/>
      <c r="H22" s="138"/>
      <c r="I22" s="138"/>
      <c r="J22" s="138"/>
      <c r="K22" s="140"/>
      <c r="L22" s="326"/>
      <c r="M22" s="327">
        <v>0</v>
      </c>
      <c r="N22" s="303">
        <v>0</v>
      </c>
      <c r="O22" s="331">
        <v>0</v>
      </c>
      <c r="P22" s="303">
        <v>0</v>
      </c>
      <c r="Q22" s="315">
        <v>0</v>
      </c>
      <c r="R22" s="303"/>
      <c r="S22" s="310"/>
      <c r="T22" s="302"/>
      <c r="U22" s="368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319">
        <f t="shared" ref="AA22:AA23" si="8">SUM(X22:Z22)</f>
        <v>0</v>
      </c>
      <c r="AB22" s="156">
        <v>0</v>
      </c>
      <c r="AC22" s="319">
        <v>0</v>
      </c>
      <c r="AD22" s="319">
        <v>0</v>
      </c>
      <c r="AE22" s="319">
        <v>0</v>
      </c>
      <c r="AF22" s="319">
        <f t="shared" ref="AF22:AF23" si="9">SUM(AC22:AE22)</f>
        <v>0</v>
      </c>
      <c r="AG22" s="156">
        <v>0</v>
      </c>
      <c r="AH22" s="303"/>
      <c r="AI22" s="303"/>
      <c r="AJ22" s="303"/>
      <c r="AK22" s="321">
        <f t="shared" si="4"/>
        <v>0</v>
      </c>
      <c r="AL22" s="303"/>
      <c r="AM22" s="306"/>
    </row>
    <row r="23" spans="1:54">
      <c r="A23" s="367"/>
      <c r="B23" s="169" t="s">
        <v>388</v>
      </c>
      <c r="C23" s="325"/>
      <c r="D23" s="325"/>
      <c r="E23" s="142"/>
      <c r="F23" s="138"/>
      <c r="G23" s="138"/>
      <c r="H23" s="138"/>
      <c r="I23" s="138"/>
      <c r="J23" s="138"/>
      <c r="K23" s="140"/>
      <c r="L23" s="326"/>
      <c r="M23" s="327">
        <v>0</v>
      </c>
      <c r="N23" s="303">
        <v>0</v>
      </c>
      <c r="O23" s="331">
        <v>0</v>
      </c>
      <c r="P23" s="303">
        <v>0</v>
      </c>
      <c r="Q23" s="315">
        <v>0</v>
      </c>
      <c r="R23" s="303"/>
      <c r="S23" s="310"/>
      <c r="T23" s="302"/>
      <c r="U23" s="368">
        <v>0</v>
      </c>
      <c r="V23" s="319">
        <v>0</v>
      </c>
      <c r="W23" s="319">
        <v>0</v>
      </c>
      <c r="X23" s="319">
        <v>0</v>
      </c>
      <c r="Y23" s="319">
        <v>0</v>
      </c>
      <c r="Z23" s="319">
        <v>0</v>
      </c>
      <c r="AA23" s="319">
        <f t="shared" si="8"/>
        <v>0</v>
      </c>
      <c r="AB23" s="156">
        <v>0</v>
      </c>
      <c r="AC23" s="319">
        <v>0</v>
      </c>
      <c r="AD23" s="319">
        <v>0</v>
      </c>
      <c r="AE23" s="319">
        <v>0</v>
      </c>
      <c r="AF23" s="319">
        <f t="shared" si="9"/>
        <v>0</v>
      </c>
      <c r="AG23" s="156">
        <v>0</v>
      </c>
      <c r="AH23" s="303"/>
      <c r="AI23" s="303"/>
      <c r="AJ23" s="303"/>
      <c r="AK23" s="321"/>
      <c r="AL23" s="303"/>
      <c r="AM23" s="306"/>
    </row>
    <row r="24" spans="1:54" ht="25.5">
      <c r="A24" s="367"/>
      <c r="B24" s="169" t="s">
        <v>389</v>
      </c>
      <c r="C24" s="325"/>
      <c r="D24" s="325"/>
      <c r="E24" s="142"/>
      <c r="F24" s="138"/>
      <c r="G24" s="138"/>
      <c r="H24" s="138"/>
      <c r="I24" s="138"/>
      <c r="J24" s="138"/>
      <c r="K24" s="140"/>
      <c r="L24" s="326"/>
      <c r="M24" s="327"/>
      <c r="N24" s="303"/>
      <c r="O24" s="331"/>
      <c r="P24" s="303"/>
      <c r="Q24" s="315"/>
      <c r="R24" s="303"/>
      <c r="S24" s="310"/>
      <c r="T24" s="302"/>
      <c r="U24" s="194"/>
      <c r="V24" s="195"/>
      <c r="W24" s="198"/>
      <c r="X24" s="319"/>
      <c r="Y24" s="319"/>
      <c r="Z24" s="319"/>
      <c r="AA24" s="319"/>
      <c r="AB24" s="156"/>
      <c r="AC24" s="319"/>
      <c r="AD24" s="319"/>
      <c r="AE24" s="319"/>
      <c r="AF24" s="319"/>
      <c r="AG24" s="156"/>
      <c r="AH24" s="303"/>
      <c r="AI24" s="303"/>
      <c r="AJ24" s="303"/>
      <c r="AK24" s="321">
        <f t="shared" si="4"/>
        <v>0</v>
      </c>
      <c r="AL24" s="303"/>
      <c r="AM24" s="306"/>
    </row>
    <row r="25" spans="1:54" ht="14.45" customHeight="1">
      <c r="A25" s="369"/>
      <c r="B25" s="172" t="s">
        <v>390</v>
      </c>
      <c r="C25" s="325"/>
      <c r="D25" s="325"/>
      <c r="E25" s="142" t="s">
        <v>266</v>
      </c>
      <c r="F25" s="138" t="s">
        <v>320</v>
      </c>
      <c r="G25" s="138" t="s">
        <v>391</v>
      </c>
      <c r="H25" s="138" t="s">
        <v>377</v>
      </c>
      <c r="I25" s="138">
        <v>16</v>
      </c>
      <c r="J25" s="138">
        <v>3</v>
      </c>
      <c r="K25" s="140" t="s">
        <v>126</v>
      </c>
      <c r="L25" s="326"/>
      <c r="M25" s="327">
        <v>0</v>
      </c>
      <c r="N25" s="303">
        <v>0</v>
      </c>
      <c r="O25" s="331">
        <v>0</v>
      </c>
      <c r="P25" s="303">
        <v>0</v>
      </c>
      <c r="Q25" s="315">
        <v>256</v>
      </c>
      <c r="R25" s="303"/>
      <c r="S25" s="310">
        <v>19.84</v>
      </c>
      <c r="T25" s="302" t="s">
        <v>323</v>
      </c>
      <c r="U25" s="350">
        <f>S25-W25</f>
        <v>17</v>
      </c>
      <c r="V25" s="319">
        <v>0</v>
      </c>
      <c r="W25" s="198">
        <v>2.84</v>
      </c>
      <c r="X25" s="319">
        <v>0</v>
      </c>
      <c r="Y25" s="319">
        <v>0</v>
      </c>
      <c r="Z25" s="319">
        <v>0</v>
      </c>
      <c r="AA25" s="319">
        <f t="shared" ref="AA25:AA26" si="10">SUM(X25:Z25)</f>
        <v>0</v>
      </c>
      <c r="AB25" s="156">
        <f t="shared" si="1"/>
        <v>0</v>
      </c>
      <c r="AC25" s="319">
        <v>0</v>
      </c>
      <c r="AD25" s="319">
        <v>0</v>
      </c>
      <c r="AE25" s="319">
        <v>0</v>
      </c>
      <c r="AF25" s="319">
        <f t="shared" ref="AF25:AF26" si="11">SUM(AC25:AE25)</f>
        <v>0</v>
      </c>
      <c r="AG25" s="156">
        <f t="shared" si="3"/>
        <v>0</v>
      </c>
      <c r="AH25" s="303"/>
      <c r="AI25" s="303"/>
      <c r="AJ25" s="303"/>
      <c r="AK25" s="321">
        <f t="shared" si="4"/>
        <v>0</v>
      </c>
      <c r="AL25" s="303"/>
      <c r="AM25" s="306"/>
    </row>
    <row r="26" spans="1:54" ht="14.45" customHeight="1">
      <c r="A26" s="370"/>
      <c r="B26" s="371" t="s">
        <v>392</v>
      </c>
      <c r="C26" s="325"/>
      <c r="D26" s="325"/>
      <c r="E26" s="142"/>
      <c r="F26" s="138"/>
      <c r="G26" s="138"/>
      <c r="H26" s="138"/>
      <c r="I26" s="138"/>
      <c r="J26" s="138"/>
      <c r="K26" s="140"/>
      <c r="L26" s="326"/>
      <c r="M26" s="327">
        <v>0</v>
      </c>
      <c r="N26" s="303">
        <v>0</v>
      </c>
      <c r="O26" s="331">
        <v>0</v>
      </c>
      <c r="P26" s="303">
        <v>0</v>
      </c>
      <c r="Q26" s="315">
        <f>Q25</f>
        <v>256</v>
      </c>
      <c r="R26" s="303"/>
      <c r="S26" s="310"/>
      <c r="T26" s="302"/>
      <c r="U26" s="194">
        <f>U25</f>
        <v>17</v>
      </c>
      <c r="V26" s="319">
        <v>0</v>
      </c>
      <c r="W26" s="198">
        <f>W25</f>
        <v>2.84</v>
      </c>
      <c r="X26" s="319">
        <v>0</v>
      </c>
      <c r="Y26" s="319">
        <v>0</v>
      </c>
      <c r="Z26" s="319">
        <v>0</v>
      </c>
      <c r="AA26" s="319">
        <f t="shared" si="10"/>
        <v>0</v>
      </c>
      <c r="AB26" s="156">
        <v>0</v>
      </c>
      <c r="AC26" s="319">
        <v>0</v>
      </c>
      <c r="AD26" s="319">
        <v>0</v>
      </c>
      <c r="AE26" s="319">
        <v>0</v>
      </c>
      <c r="AF26" s="319">
        <f t="shared" si="11"/>
        <v>0</v>
      </c>
      <c r="AG26" s="156">
        <v>0</v>
      </c>
      <c r="AH26" s="303"/>
      <c r="AI26" s="303"/>
      <c r="AJ26" s="303"/>
      <c r="AK26" s="321">
        <f t="shared" si="4"/>
        <v>0</v>
      </c>
      <c r="AL26" s="303"/>
      <c r="AM26" s="306"/>
    </row>
    <row r="27" spans="1:54" ht="22.9" customHeight="1">
      <c r="A27" s="372"/>
      <c r="B27" s="373" t="s">
        <v>393</v>
      </c>
      <c r="C27" s="374"/>
      <c r="D27" s="374"/>
      <c r="E27" s="375"/>
      <c r="F27" s="375"/>
      <c r="G27" s="375"/>
      <c r="H27" s="375"/>
      <c r="I27" s="376"/>
      <c r="J27" s="376"/>
      <c r="K27" s="176">
        <v>335</v>
      </c>
      <c r="L27" s="377"/>
      <c r="M27" s="378"/>
      <c r="N27" s="372"/>
      <c r="O27" s="372"/>
      <c r="P27" s="372"/>
      <c r="Q27" s="274">
        <f>Q26+Q23+Q20</f>
        <v>1912</v>
      </c>
      <c r="R27" s="372"/>
      <c r="S27" s="379">
        <f>SUM(S13:S25)</f>
        <v>330.5</v>
      </c>
      <c r="T27" s="372"/>
      <c r="U27" s="380">
        <f t="shared" ref="U27:AM27" si="12">SUM(U13:U25)</f>
        <v>288.83000000000004</v>
      </c>
      <c r="V27" s="380">
        <f>SUM(V13:V26)</f>
        <v>0</v>
      </c>
      <c r="W27" s="380">
        <f t="shared" si="12"/>
        <v>41.67</v>
      </c>
      <c r="X27" s="380">
        <f>X26+X23+X20</f>
        <v>0</v>
      </c>
      <c r="Y27" s="380">
        <f>Y26+Y23+Y20</f>
        <v>0</v>
      </c>
      <c r="Z27" s="380">
        <f t="shared" ref="Z27:AA27" si="13">Z26+Z23+Z20</f>
        <v>0</v>
      </c>
      <c r="AA27" s="380">
        <f t="shared" si="13"/>
        <v>0</v>
      </c>
      <c r="AB27" s="178">
        <f t="shared" si="1"/>
        <v>0</v>
      </c>
      <c r="AC27" s="380">
        <f>AC26+AC23+AC20</f>
        <v>0</v>
      </c>
      <c r="AD27" s="380">
        <f>AD26+AD23+AD20</f>
        <v>0</v>
      </c>
      <c r="AE27" s="380">
        <f t="shared" ref="AE27:AF27" si="14">AE26+AE23+AE20</f>
        <v>0</v>
      </c>
      <c r="AF27" s="380">
        <f t="shared" si="14"/>
        <v>0</v>
      </c>
      <c r="AG27" s="178">
        <f t="shared" si="3"/>
        <v>0</v>
      </c>
      <c r="AH27" s="381"/>
      <c r="AI27" s="382">
        <f t="shared" si="12"/>
        <v>0</v>
      </c>
      <c r="AJ27" s="382">
        <f t="shared" si="12"/>
        <v>0</v>
      </c>
      <c r="AK27" s="382">
        <f t="shared" si="12"/>
        <v>0</v>
      </c>
      <c r="AL27" s="382">
        <f t="shared" si="12"/>
        <v>0</v>
      </c>
      <c r="AM27" s="382">
        <f t="shared" si="12"/>
        <v>0</v>
      </c>
    </row>
    <row r="28" spans="1:54" ht="63.75">
      <c r="A28" s="383" t="s">
        <v>394</v>
      </c>
      <c r="B28" s="169" t="s">
        <v>395</v>
      </c>
      <c r="C28" s="307" t="s">
        <v>396</v>
      </c>
      <c r="D28" s="307"/>
      <c r="E28" s="142"/>
      <c r="F28" s="142"/>
      <c r="G28" s="142"/>
      <c r="H28" s="142"/>
      <c r="I28" s="138"/>
      <c r="J28" s="138"/>
      <c r="K28" s="140"/>
      <c r="L28" s="302"/>
      <c r="M28" s="384"/>
      <c r="N28" s="303"/>
      <c r="O28" s="303"/>
      <c r="P28" s="303"/>
      <c r="Q28" s="154"/>
      <c r="R28" s="303"/>
      <c r="S28" s="310"/>
      <c r="T28" s="303"/>
      <c r="U28" s="195"/>
      <c r="V28" s="195"/>
      <c r="W28" s="195"/>
      <c r="X28" s="319"/>
      <c r="Y28" s="319"/>
      <c r="Z28" s="319"/>
      <c r="AA28" s="319"/>
      <c r="AB28" s="156"/>
      <c r="AC28" s="319"/>
      <c r="AD28" s="319"/>
      <c r="AE28" s="319"/>
      <c r="AF28" s="319"/>
      <c r="AG28" s="156"/>
      <c r="AH28" s="303"/>
      <c r="AI28" s="303"/>
      <c r="AJ28" s="303"/>
      <c r="AK28" s="321">
        <f t="shared" si="4"/>
        <v>0</v>
      </c>
      <c r="AL28" s="303"/>
      <c r="AM28" s="306"/>
    </row>
    <row r="29" spans="1:54" ht="19.149999999999999" customHeight="1">
      <c r="A29" s="301"/>
      <c r="B29" s="169" t="s">
        <v>397</v>
      </c>
      <c r="C29" s="325"/>
      <c r="D29" s="325"/>
      <c r="E29" s="142"/>
      <c r="F29" s="142"/>
      <c r="G29" s="142"/>
      <c r="H29" s="142"/>
      <c r="I29" s="138"/>
      <c r="J29" s="138"/>
      <c r="K29" s="140"/>
      <c r="L29" s="302"/>
      <c r="M29" s="384"/>
      <c r="N29" s="303"/>
      <c r="O29" s="303"/>
      <c r="P29" s="303"/>
      <c r="Q29" s="154"/>
      <c r="R29" s="303"/>
      <c r="S29" s="310"/>
      <c r="T29" s="303"/>
      <c r="U29" s="195"/>
      <c r="V29" s="195"/>
      <c r="W29" s="195"/>
      <c r="X29" s="319"/>
      <c r="Y29" s="319"/>
      <c r="Z29" s="319"/>
      <c r="AA29" s="319"/>
      <c r="AB29" s="156"/>
      <c r="AC29" s="319"/>
      <c r="AD29" s="319"/>
      <c r="AE29" s="319"/>
      <c r="AF29" s="319"/>
      <c r="AG29" s="156"/>
      <c r="AH29" s="303"/>
      <c r="AI29" s="303"/>
      <c r="AJ29" s="303"/>
      <c r="AK29" s="321">
        <f t="shared" si="4"/>
        <v>0</v>
      </c>
      <c r="AL29" s="303"/>
      <c r="AM29" s="306"/>
    </row>
    <row r="30" spans="1:54" ht="16.899999999999999" customHeight="1">
      <c r="A30" s="385"/>
      <c r="B30" s="172" t="s">
        <v>398</v>
      </c>
      <c r="C30" s="302"/>
      <c r="D30" s="302"/>
      <c r="E30" s="142" t="s">
        <v>266</v>
      </c>
      <c r="F30" s="142" t="s">
        <v>126</v>
      </c>
      <c r="G30" s="142" t="s">
        <v>399</v>
      </c>
      <c r="H30" s="142"/>
      <c r="I30" s="138">
        <v>1.5</v>
      </c>
      <c r="J30" s="138"/>
      <c r="K30" s="140">
        <v>1</v>
      </c>
      <c r="L30" s="317"/>
      <c r="M30" s="327">
        <v>0</v>
      </c>
      <c r="N30" s="303">
        <v>0</v>
      </c>
      <c r="O30" s="331">
        <v>0</v>
      </c>
      <c r="P30" s="303">
        <v>0</v>
      </c>
      <c r="Q30" s="155">
        <v>15</v>
      </c>
      <c r="R30" s="314"/>
      <c r="S30" s="310">
        <v>15</v>
      </c>
      <c r="T30" s="142" t="s">
        <v>261</v>
      </c>
      <c r="U30" s="350">
        <f>S30-W30</f>
        <v>13.120000000000001</v>
      </c>
      <c r="V30" s="319">
        <v>0</v>
      </c>
      <c r="W30" s="195">
        <v>1.88</v>
      </c>
      <c r="X30" s="319">
        <v>0</v>
      </c>
      <c r="Y30" s="319">
        <v>0</v>
      </c>
      <c r="Z30" s="319">
        <v>0</v>
      </c>
      <c r="AA30" s="319">
        <f>SUM(X30:Z30)</f>
        <v>0</v>
      </c>
      <c r="AB30" s="156">
        <f t="shared" si="1"/>
        <v>0</v>
      </c>
      <c r="AC30" s="319">
        <v>0</v>
      </c>
      <c r="AD30" s="319">
        <v>0</v>
      </c>
      <c r="AE30" s="319">
        <v>0</v>
      </c>
      <c r="AF30" s="319">
        <f>SUM(AC30:AE30)</f>
        <v>0</v>
      </c>
      <c r="AG30" s="156">
        <f t="shared" si="3"/>
        <v>0</v>
      </c>
      <c r="AH30" s="303"/>
      <c r="AI30" s="303"/>
      <c r="AJ30" s="303"/>
      <c r="AK30" s="321">
        <f t="shared" si="4"/>
        <v>0</v>
      </c>
      <c r="AL30" s="303"/>
      <c r="AM30" s="306"/>
    </row>
    <row r="31" spans="1:54" s="254" customFormat="1" ht="16.149999999999999" customHeight="1">
      <c r="A31" s="386"/>
      <c r="B31" s="172" t="s">
        <v>400</v>
      </c>
      <c r="C31" s="302"/>
      <c r="D31" s="302"/>
      <c r="E31" s="142" t="s">
        <v>266</v>
      </c>
      <c r="F31" s="142" t="s">
        <v>401</v>
      </c>
      <c r="G31" s="142" t="s">
        <v>402</v>
      </c>
      <c r="H31" s="142"/>
      <c r="I31" s="138">
        <v>4</v>
      </c>
      <c r="J31" s="138"/>
      <c r="K31" s="140">
        <v>1</v>
      </c>
      <c r="L31" s="317"/>
      <c r="M31" s="327">
        <v>0</v>
      </c>
      <c r="N31" s="303">
        <v>0</v>
      </c>
      <c r="O31" s="331">
        <v>0</v>
      </c>
      <c r="P31" s="303">
        <v>0</v>
      </c>
      <c r="Q31" s="155">
        <v>6</v>
      </c>
      <c r="R31" s="314"/>
      <c r="S31" s="310">
        <v>6</v>
      </c>
      <c r="T31" s="142" t="s">
        <v>261</v>
      </c>
      <c r="U31" s="350">
        <f>S31-W31</f>
        <v>5.25</v>
      </c>
      <c r="V31" s="319">
        <v>0</v>
      </c>
      <c r="W31" s="195">
        <v>0.75</v>
      </c>
      <c r="X31" s="319">
        <v>0</v>
      </c>
      <c r="Y31" s="319">
        <v>0</v>
      </c>
      <c r="Z31" s="319">
        <v>0</v>
      </c>
      <c r="AA31" s="319">
        <f t="shared" ref="AA31:AA32" si="15">SUM(X31:Z31)</f>
        <v>0</v>
      </c>
      <c r="AB31" s="156">
        <f t="shared" si="1"/>
        <v>0</v>
      </c>
      <c r="AC31" s="319">
        <v>0</v>
      </c>
      <c r="AD31" s="319">
        <v>0</v>
      </c>
      <c r="AE31" s="319">
        <v>0</v>
      </c>
      <c r="AF31" s="319">
        <f t="shared" ref="AF31:AF32" si="16">SUM(AC31:AE31)</f>
        <v>0</v>
      </c>
      <c r="AG31" s="156">
        <f t="shared" si="3"/>
        <v>0</v>
      </c>
      <c r="AH31" s="303"/>
      <c r="AI31" s="303"/>
      <c r="AJ31" s="303"/>
      <c r="AK31" s="321">
        <f t="shared" si="4"/>
        <v>0</v>
      </c>
      <c r="AL31" s="303"/>
      <c r="AM31" s="306"/>
      <c r="AN31" s="387"/>
    </row>
    <row r="32" spans="1:54" ht="18.600000000000001" customHeight="1">
      <c r="A32" s="386"/>
      <c r="B32" s="172" t="s">
        <v>403</v>
      </c>
      <c r="C32" s="303"/>
      <c r="D32" s="303"/>
      <c r="E32" s="142" t="s">
        <v>404</v>
      </c>
      <c r="F32" s="142" t="s">
        <v>130</v>
      </c>
      <c r="G32" s="142" t="s">
        <v>405</v>
      </c>
      <c r="H32" s="138" t="s">
        <v>406</v>
      </c>
      <c r="I32" s="138">
        <v>30000</v>
      </c>
      <c r="J32" s="138"/>
      <c r="K32" s="140">
        <v>5000</v>
      </c>
      <c r="L32" s="388"/>
      <c r="M32" s="327">
        <v>0</v>
      </c>
      <c r="N32" s="303">
        <v>0</v>
      </c>
      <c r="O32" s="331">
        <v>0</v>
      </c>
      <c r="P32" s="303">
        <v>0</v>
      </c>
      <c r="Q32" s="315">
        <v>3600</v>
      </c>
      <c r="R32" s="314"/>
      <c r="S32" s="310">
        <v>1002.69</v>
      </c>
      <c r="T32" s="142" t="s">
        <v>261</v>
      </c>
      <c r="U32" s="350">
        <f>S32-W32</f>
        <v>877.35</v>
      </c>
      <c r="V32" s="319">
        <v>0</v>
      </c>
      <c r="W32" s="195">
        <v>125.34</v>
      </c>
      <c r="X32" s="319">
        <v>0</v>
      </c>
      <c r="Y32" s="319">
        <v>0</v>
      </c>
      <c r="Z32" s="319">
        <v>0</v>
      </c>
      <c r="AA32" s="319">
        <f t="shared" si="15"/>
        <v>0</v>
      </c>
      <c r="AB32" s="156">
        <f t="shared" si="1"/>
        <v>0</v>
      </c>
      <c r="AC32" s="319">
        <v>0</v>
      </c>
      <c r="AD32" s="319">
        <v>0</v>
      </c>
      <c r="AE32" s="319">
        <v>0</v>
      </c>
      <c r="AF32" s="319">
        <f t="shared" si="16"/>
        <v>0</v>
      </c>
      <c r="AG32" s="156">
        <f t="shared" si="3"/>
        <v>0</v>
      </c>
      <c r="AH32" s="303"/>
      <c r="AI32" s="303"/>
      <c r="AJ32" s="303"/>
      <c r="AK32" s="321">
        <f t="shared" si="4"/>
        <v>0</v>
      </c>
      <c r="AL32" s="303"/>
      <c r="AM32" s="306"/>
    </row>
    <row r="33" spans="1:39" ht="18.600000000000001" customHeight="1">
      <c r="A33" s="386"/>
      <c r="B33" s="169" t="s">
        <v>385</v>
      </c>
      <c r="C33" s="389"/>
      <c r="D33" s="389"/>
      <c r="E33" s="131"/>
      <c r="F33" s="131"/>
      <c r="G33" s="131"/>
      <c r="H33" s="132"/>
      <c r="I33" s="132"/>
      <c r="J33" s="132"/>
      <c r="K33" s="140"/>
      <c r="L33" s="390"/>
      <c r="M33" s="327">
        <v>0</v>
      </c>
      <c r="N33" s="303">
        <v>0</v>
      </c>
      <c r="O33" s="331">
        <v>0</v>
      </c>
      <c r="P33" s="303">
        <v>0</v>
      </c>
      <c r="Q33" s="391">
        <f>SUM(Q30:Q32)</f>
        <v>3621</v>
      </c>
      <c r="R33" s="389"/>
      <c r="S33" s="310">
        <f>SUM(S30:S32)</f>
        <v>1023.69</v>
      </c>
      <c r="T33" s="301"/>
      <c r="U33" s="392">
        <f>SUM(U30:U32)</f>
        <v>895.72</v>
      </c>
      <c r="V33" s="392">
        <f>SUM(V30:V32)</f>
        <v>0</v>
      </c>
      <c r="W33" s="392">
        <f>SUM(W30:W32)</f>
        <v>127.97</v>
      </c>
      <c r="X33" s="392">
        <f>SUM(X30:X32)</f>
        <v>0</v>
      </c>
      <c r="Y33" s="392">
        <f>SUM(Y30:Y32)</f>
        <v>0</v>
      </c>
      <c r="Z33" s="392">
        <f t="shared" ref="Z33:AA33" si="17">SUM(Z30:Z32)</f>
        <v>0</v>
      </c>
      <c r="AA33" s="392">
        <f t="shared" si="17"/>
        <v>0</v>
      </c>
      <c r="AB33" s="161">
        <v>0</v>
      </c>
      <c r="AC33" s="392">
        <f>SUM(AC30:AC32)</f>
        <v>0</v>
      </c>
      <c r="AD33" s="392">
        <f>SUM(AD30:AD32)</f>
        <v>0</v>
      </c>
      <c r="AE33" s="392">
        <f t="shared" ref="AE33:AF33" si="18">SUM(AE30:AE32)</f>
        <v>0</v>
      </c>
      <c r="AF33" s="392">
        <f t="shared" si="18"/>
        <v>0</v>
      </c>
      <c r="AG33" s="161">
        <v>0</v>
      </c>
      <c r="AH33" s="382"/>
      <c r="AI33" s="382">
        <f t="shared" ref="AI33:AM33" si="19">SUM(AI30:AI32)</f>
        <v>0</v>
      </c>
      <c r="AJ33" s="382">
        <f t="shared" si="19"/>
        <v>0</v>
      </c>
      <c r="AK33" s="382">
        <f t="shared" si="19"/>
        <v>0</v>
      </c>
      <c r="AL33" s="382">
        <f t="shared" si="19"/>
        <v>0</v>
      </c>
      <c r="AM33" s="382">
        <f t="shared" si="19"/>
        <v>0</v>
      </c>
    </row>
    <row r="34" spans="1:39" ht="25.5">
      <c r="A34" s="386"/>
      <c r="B34" s="169" t="s">
        <v>386</v>
      </c>
      <c r="C34" s="303"/>
      <c r="D34" s="303"/>
      <c r="E34" s="142"/>
      <c r="F34" s="142"/>
      <c r="G34" s="142"/>
      <c r="H34" s="138"/>
      <c r="I34" s="138"/>
      <c r="J34" s="138"/>
      <c r="K34" s="140"/>
      <c r="L34" s="393"/>
      <c r="M34" s="394"/>
      <c r="N34" s="303"/>
      <c r="O34" s="303"/>
      <c r="P34" s="303"/>
      <c r="Q34" s="315"/>
      <c r="R34" s="303"/>
      <c r="S34" s="310"/>
      <c r="T34" s="302"/>
      <c r="U34" s="195"/>
      <c r="V34" s="195"/>
      <c r="W34" s="195"/>
      <c r="X34" s="319"/>
      <c r="Y34" s="319"/>
      <c r="Z34" s="319"/>
      <c r="AA34" s="319"/>
      <c r="AB34" s="156"/>
      <c r="AC34" s="319"/>
      <c r="AD34" s="319"/>
      <c r="AE34" s="319"/>
      <c r="AF34" s="319"/>
      <c r="AG34" s="156"/>
      <c r="AH34" s="303"/>
      <c r="AI34" s="303"/>
      <c r="AJ34" s="303"/>
      <c r="AK34" s="321">
        <f t="shared" si="4"/>
        <v>0</v>
      </c>
      <c r="AL34" s="303"/>
      <c r="AM34" s="306"/>
    </row>
    <row r="35" spans="1:39" ht="18.600000000000001" customHeight="1">
      <c r="A35" s="386"/>
      <c r="B35" s="172" t="s">
        <v>387</v>
      </c>
      <c r="C35" s="303"/>
      <c r="D35" s="303"/>
      <c r="E35" s="142"/>
      <c r="F35" s="142"/>
      <c r="G35" s="142"/>
      <c r="H35" s="138"/>
      <c r="I35" s="138"/>
      <c r="J35" s="138"/>
      <c r="K35" s="140"/>
      <c r="L35" s="393"/>
      <c r="M35" s="327">
        <v>0</v>
      </c>
      <c r="N35" s="303">
        <v>0</v>
      </c>
      <c r="O35" s="331">
        <v>0</v>
      </c>
      <c r="P35" s="303">
        <v>0</v>
      </c>
      <c r="Q35" s="315">
        <v>0</v>
      </c>
      <c r="R35" s="303"/>
      <c r="S35" s="310">
        <v>0</v>
      </c>
      <c r="T35" s="395"/>
      <c r="U35" s="319">
        <v>0</v>
      </c>
      <c r="V35" s="319">
        <v>0</v>
      </c>
      <c r="W35" s="319">
        <v>0</v>
      </c>
      <c r="X35" s="319">
        <v>0</v>
      </c>
      <c r="Y35" s="319">
        <v>0</v>
      </c>
      <c r="Z35" s="319">
        <v>0</v>
      </c>
      <c r="AA35" s="319">
        <f t="shared" ref="AA35:AA36" si="20">SUM(X35:Z35)</f>
        <v>0</v>
      </c>
      <c r="AB35" s="156">
        <v>0</v>
      </c>
      <c r="AC35" s="319">
        <v>0</v>
      </c>
      <c r="AD35" s="319">
        <v>0</v>
      </c>
      <c r="AE35" s="319">
        <v>0</v>
      </c>
      <c r="AF35" s="319">
        <f t="shared" ref="AF35:AF36" si="21">SUM(AC35:AE35)</f>
        <v>0</v>
      </c>
      <c r="AG35" s="156">
        <v>0</v>
      </c>
      <c r="AH35" s="303"/>
      <c r="AI35" s="303"/>
      <c r="AJ35" s="303"/>
      <c r="AK35" s="321">
        <f t="shared" si="4"/>
        <v>0</v>
      </c>
      <c r="AL35" s="303"/>
      <c r="AM35" s="306"/>
    </row>
    <row r="36" spans="1:39" ht="18.600000000000001" customHeight="1">
      <c r="A36" s="386"/>
      <c r="B36" s="172" t="s">
        <v>388</v>
      </c>
      <c r="C36" s="303"/>
      <c r="D36" s="303"/>
      <c r="E36" s="142"/>
      <c r="F36" s="142"/>
      <c r="G36" s="142"/>
      <c r="H36" s="138"/>
      <c r="I36" s="138"/>
      <c r="J36" s="138"/>
      <c r="K36" s="140"/>
      <c r="L36" s="393"/>
      <c r="M36" s="327">
        <v>0</v>
      </c>
      <c r="N36" s="303">
        <v>0</v>
      </c>
      <c r="O36" s="331">
        <v>0</v>
      </c>
      <c r="P36" s="303">
        <v>0</v>
      </c>
      <c r="Q36" s="315">
        <v>0</v>
      </c>
      <c r="R36" s="303"/>
      <c r="S36" s="310">
        <v>0</v>
      </c>
      <c r="T36" s="395"/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319">
        <f t="shared" si="20"/>
        <v>0</v>
      </c>
      <c r="AB36" s="156">
        <v>0</v>
      </c>
      <c r="AC36" s="319">
        <v>0</v>
      </c>
      <c r="AD36" s="319">
        <v>0</v>
      </c>
      <c r="AE36" s="319">
        <v>0</v>
      </c>
      <c r="AF36" s="319">
        <f t="shared" si="21"/>
        <v>0</v>
      </c>
      <c r="AG36" s="156">
        <v>0</v>
      </c>
      <c r="AH36" s="303"/>
      <c r="AI36" s="303"/>
      <c r="AJ36" s="303"/>
      <c r="AK36" s="321">
        <f t="shared" si="4"/>
        <v>0</v>
      </c>
      <c r="AL36" s="303"/>
      <c r="AM36" s="306"/>
    </row>
    <row r="37" spans="1:39" ht="25.5">
      <c r="A37" s="386"/>
      <c r="B37" s="169" t="s">
        <v>407</v>
      </c>
      <c r="C37" s="303"/>
      <c r="D37" s="303"/>
      <c r="E37" s="142"/>
      <c r="F37" s="142"/>
      <c r="G37" s="142"/>
      <c r="H37" s="138"/>
      <c r="I37" s="138"/>
      <c r="J37" s="138"/>
      <c r="K37" s="140"/>
      <c r="L37" s="393"/>
      <c r="M37" s="327">
        <v>0</v>
      </c>
      <c r="N37" s="303">
        <v>0</v>
      </c>
      <c r="O37" s="331">
        <v>0</v>
      </c>
      <c r="P37" s="303">
        <v>0</v>
      </c>
      <c r="Q37" s="315">
        <v>0</v>
      </c>
      <c r="R37" s="303"/>
      <c r="S37" s="310"/>
      <c r="T37" s="302"/>
      <c r="U37" s="195"/>
      <c r="V37" s="195"/>
      <c r="W37" s="195"/>
      <c r="X37" s="319"/>
      <c r="Y37" s="319"/>
      <c r="Z37" s="319"/>
      <c r="AA37" s="319"/>
      <c r="AB37" s="156"/>
      <c r="AC37" s="319"/>
      <c r="AD37" s="319"/>
      <c r="AE37" s="319"/>
      <c r="AF37" s="319"/>
      <c r="AG37" s="156"/>
      <c r="AH37" s="303"/>
      <c r="AI37" s="303"/>
      <c r="AJ37" s="303"/>
      <c r="AK37" s="321">
        <f t="shared" si="4"/>
        <v>0</v>
      </c>
      <c r="AL37" s="303"/>
      <c r="AM37" s="306"/>
    </row>
    <row r="38" spans="1:39" ht="18.600000000000001" customHeight="1">
      <c r="A38" s="386"/>
      <c r="B38" s="172" t="s">
        <v>387</v>
      </c>
      <c r="C38" s="303"/>
      <c r="D38" s="303"/>
      <c r="E38" s="142"/>
      <c r="F38" s="142"/>
      <c r="G38" s="142"/>
      <c r="H38" s="138"/>
      <c r="I38" s="138"/>
      <c r="J38" s="138"/>
      <c r="K38" s="140"/>
      <c r="L38" s="393"/>
      <c r="M38" s="327">
        <v>0</v>
      </c>
      <c r="N38" s="303">
        <v>0</v>
      </c>
      <c r="O38" s="331">
        <v>0</v>
      </c>
      <c r="P38" s="303">
        <v>0</v>
      </c>
      <c r="Q38" s="315">
        <v>0</v>
      </c>
      <c r="R38" s="303"/>
      <c r="S38" s="310"/>
      <c r="T38" s="302"/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319">
        <f t="shared" ref="AA38:AA39" si="22">SUM(X38:Z38)</f>
        <v>0</v>
      </c>
      <c r="AB38" s="156">
        <v>0</v>
      </c>
      <c r="AC38" s="319">
        <v>0</v>
      </c>
      <c r="AD38" s="319">
        <v>0</v>
      </c>
      <c r="AE38" s="319">
        <v>0</v>
      </c>
      <c r="AF38" s="319">
        <f t="shared" ref="AF38:AF39" si="23">SUM(AC38:AE38)</f>
        <v>0</v>
      </c>
      <c r="AG38" s="156">
        <v>0</v>
      </c>
      <c r="AH38" s="303"/>
      <c r="AI38" s="303"/>
      <c r="AJ38" s="303"/>
      <c r="AK38" s="321">
        <f t="shared" si="4"/>
        <v>0</v>
      </c>
      <c r="AL38" s="303"/>
      <c r="AM38" s="306"/>
    </row>
    <row r="39" spans="1:39" ht="18.600000000000001" customHeight="1">
      <c r="A39" s="396"/>
      <c r="B39" s="172" t="s">
        <v>235</v>
      </c>
      <c r="C39" s="303"/>
      <c r="D39" s="303"/>
      <c r="E39" s="142"/>
      <c r="F39" s="142"/>
      <c r="G39" s="142"/>
      <c r="H39" s="138"/>
      <c r="I39" s="138"/>
      <c r="J39" s="138"/>
      <c r="K39" s="140"/>
      <c r="L39" s="393"/>
      <c r="M39" s="327">
        <v>0</v>
      </c>
      <c r="N39" s="303">
        <v>0</v>
      </c>
      <c r="O39" s="331">
        <v>0</v>
      </c>
      <c r="P39" s="303">
        <v>0</v>
      </c>
      <c r="Q39" s="315">
        <v>0</v>
      </c>
      <c r="R39" s="303"/>
      <c r="S39" s="310"/>
      <c r="T39" s="302"/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319">
        <f t="shared" si="22"/>
        <v>0</v>
      </c>
      <c r="AB39" s="156">
        <v>0</v>
      </c>
      <c r="AC39" s="319">
        <v>0</v>
      </c>
      <c r="AD39" s="319">
        <v>0</v>
      </c>
      <c r="AE39" s="319">
        <v>0</v>
      </c>
      <c r="AF39" s="319">
        <f t="shared" si="23"/>
        <v>0</v>
      </c>
      <c r="AG39" s="156">
        <v>0</v>
      </c>
      <c r="AH39" s="303"/>
      <c r="AI39" s="303"/>
      <c r="AJ39" s="303"/>
      <c r="AK39" s="321">
        <f t="shared" si="4"/>
        <v>0</v>
      </c>
      <c r="AL39" s="303"/>
      <c r="AM39" s="306"/>
    </row>
    <row r="40" spans="1:39" ht="21" customHeight="1">
      <c r="A40" s="375"/>
      <c r="B40" s="175" t="s">
        <v>408</v>
      </c>
      <c r="C40" s="375"/>
      <c r="D40" s="375"/>
      <c r="E40" s="375"/>
      <c r="F40" s="375"/>
      <c r="G40" s="375"/>
      <c r="H40" s="375"/>
      <c r="I40" s="376"/>
      <c r="J40" s="376"/>
      <c r="K40" s="176"/>
      <c r="L40" s="397"/>
      <c r="M40" s="398">
        <v>0</v>
      </c>
      <c r="N40" s="399">
        <v>0</v>
      </c>
      <c r="O40" s="400">
        <v>0</v>
      </c>
      <c r="P40" s="399">
        <v>0</v>
      </c>
      <c r="Q40" s="274">
        <f>Q39+Q36+Q33</f>
        <v>3621</v>
      </c>
      <c r="R40" s="401"/>
      <c r="S40" s="166">
        <f>SUM(S33:S39)</f>
        <v>1023.69</v>
      </c>
      <c r="T40" s="401"/>
      <c r="U40" s="380">
        <f t="shared" ref="U40:AA40" si="24">SUM(U33:U39)</f>
        <v>895.72</v>
      </c>
      <c r="V40" s="380">
        <f t="shared" si="24"/>
        <v>0</v>
      </c>
      <c r="W40" s="380">
        <f t="shared" si="24"/>
        <v>127.97</v>
      </c>
      <c r="X40" s="380">
        <f t="shared" si="24"/>
        <v>0</v>
      </c>
      <c r="Y40" s="380">
        <f t="shared" si="24"/>
        <v>0</v>
      </c>
      <c r="Z40" s="380">
        <f t="shared" si="24"/>
        <v>0</v>
      </c>
      <c r="AA40" s="380">
        <f t="shared" si="24"/>
        <v>0</v>
      </c>
      <c r="AB40" s="178">
        <f t="shared" si="1"/>
        <v>0</v>
      </c>
      <c r="AC40" s="380">
        <f t="shared" ref="AC40:AF40" si="25">SUM(AC33:AC39)</f>
        <v>0</v>
      </c>
      <c r="AD40" s="380">
        <f t="shared" si="25"/>
        <v>0</v>
      </c>
      <c r="AE40" s="380">
        <f t="shared" si="25"/>
        <v>0</v>
      </c>
      <c r="AF40" s="380">
        <f t="shared" si="25"/>
        <v>0</v>
      </c>
      <c r="AG40" s="178">
        <f t="shared" si="3"/>
        <v>0</v>
      </c>
      <c r="AH40" s="178"/>
      <c r="AI40" s="382">
        <f t="shared" ref="AI40:AM40" si="26">SUM(AI33:AI39)</f>
        <v>0</v>
      </c>
      <c r="AJ40" s="382">
        <f t="shared" si="26"/>
        <v>0</v>
      </c>
      <c r="AK40" s="382">
        <f t="shared" si="26"/>
        <v>0</v>
      </c>
      <c r="AL40" s="382">
        <f t="shared" si="26"/>
        <v>0</v>
      </c>
      <c r="AM40" s="382">
        <f t="shared" si="26"/>
        <v>0</v>
      </c>
    </row>
    <row r="41" spans="1:39" ht="51">
      <c r="A41" s="142" t="s">
        <v>409</v>
      </c>
      <c r="B41" s="169" t="s">
        <v>410</v>
      </c>
      <c r="C41" s="402" t="s">
        <v>411</v>
      </c>
      <c r="D41" s="402"/>
      <c r="E41" s="142"/>
      <c r="F41" s="142"/>
      <c r="G41" s="142"/>
      <c r="H41" s="142"/>
      <c r="I41" s="138"/>
      <c r="J41" s="138"/>
      <c r="K41" s="140"/>
      <c r="L41" s="302"/>
      <c r="M41" s="384"/>
      <c r="N41" s="303"/>
      <c r="O41" s="303"/>
      <c r="P41" s="303"/>
      <c r="Q41" s="154"/>
      <c r="R41" s="303"/>
      <c r="S41" s="310"/>
      <c r="T41" s="303"/>
      <c r="U41" s="195"/>
      <c r="V41" s="195"/>
      <c r="W41" s="195"/>
      <c r="X41" s="319"/>
      <c r="Y41" s="319"/>
      <c r="Z41" s="319"/>
      <c r="AA41" s="319"/>
      <c r="AB41" s="156"/>
      <c r="AC41" s="319"/>
      <c r="AD41" s="319"/>
      <c r="AE41" s="319"/>
      <c r="AF41" s="319"/>
      <c r="AG41" s="156"/>
      <c r="AH41" s="303"/>
      <c r="AI41" s="303"/>
      <c r="AJ41" s="303"/>
      <c r="AK41" s="321">
        <f t="shared" si="4"/>
        <v>0</v>
      </c>
      <c r="AL41" s="303"/>
      <c r="AM41" s="306"/>
    </row>
    <row r="42" spans="1:39" ht="17.649999999999999" customHeight="1">
      <c r="A42" s="302"/>
      <c r="B42" s="169" t="s">
        <v>397</v>
      </c>
      <c r="C42" s="302"/>
      <c r="D42" s="302"/>
      <c r="E42" s="142"/>
      <c r="F42" s="142"/>
      <c r="G42" s="403"/>
      <c r="H42" s="142"/>
      <c r="I42" s="138"/>
      <c r="J42" s="138"/>
      <c r="K42" s="140"/>
      <c r="L42" s="302"/>
      <c r="M42" s="384"/>
      <c r="N42" s="303"/>
      <c r="O42" s="303"/>
      <c r="P42" s="303"/>
      <c r="Q42" s="154"/>
      <c r="R42" s="303"/>
      <c r="S42" s="310"/>
      <c r="T42" s="303"/>
      <c r="U42" s="195"/>
      <c r="V42" s="195"/>
      <c r="W42" s="195"/>
      <c r="X42" s="319"/>
      <c r="Y42" s="319"/>
      <c r="Z42" s="319"/>
      <c r="AA42" s="319"/>
      <c r="AB42" s="156"/>
      <c r="AC42" s="319"/>
      <c r="AD42" s="319"/>
      <c r="AE42" s="319"/>
      <c r="AF42" s="319"/>
      <c r="AG42" s="156"/>
      <c r="AH42" s="303"/>
      <c r="AI42" s="303"/>
      <c r="AJ42" s="303"/>
      <c r="AK42" s="321">
        <f t="shared" si="4"/>
        <v>0</v>
      </c>
      <c r="AL42" s="303"/>
      <c r="AM42" s="306"/>
    </row>
    <row r="43" spans="1:39" ht="20.25" customHeight="1">
      <c r="A43" s="385"/>
      <c r="B43" s="172" t="s">
        <v>412</v>
      </c>
      <c r="C43" s="302"/>
      <c r="D43" s="302"/>
      <c r="E43" s="142" t="s">
        <v>413</v>
      </c>
      <c r="F43" s="142" t="s">
        <v>126</v>
      </c>
      <c r="G43" s="142" t="s">
        <v>414</v>
      </c>
      <c r="H43" s="142" t="s">
        <v>415</v>
      </c>
      <c r="I43" s="138">
        <v>2</v>
      </c>
      <c r="J43" s="138">
        <v>0</v>
      </c>
      <c r="K43" s="140" t="s">
        <v>126</v>
      </c>
      <c r="L43" s="302"/>
      <c r="M43" s="327">
        <v>0</v>
      </c>
      <c r="N43" s="303">
        <v>0</v>
      </c>
      <c r="O43" s="331">
        <v>0</v>
      </c>
      <c r="P43" s="303">
        <v>0</v>
      </c>
      <c r="Q43" s="155">
        <v>67.3</v>
      </c>
      <c r="R43" s="303"/>
      <c r="S43" s="310">
        <v>10</v>
      </c>
      <c r="T43" s="142" t="s">
        <v>261</v>
      </c>
      <c r="U43" s="350">
        <f>S43-W43</f>
        <v>10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319">
        <f t="shared" ref="AA43:AA49" si="27">SUM(X43:Z43)</f>
        <v>0</v>
      </c>
      <c r="AB43" s="156">
        <f t="shared" si="1"/>
        <v>0</v>
      </c>
      <c r="AC43" s="319">
        <v>0</v>
      </c>
      <c r="AD43" s="319">
        <v>0</v>
      </c>
      <c r="AE43" s="319">
        <v>0</v>
      </c>
      <c r="AF43" s="319">
        <f t="shared" ref="AF43:AF49" si="28">SUM(AC43:AE43)</f>
        <v>0</v>
      </c>
      <c r="AG43" s="156">
        <f t="shared" si="3"/>
        <v>0</v>
      </c>
      <c r="AH43" s="303"/>
      <c r="AI43" s="303"/>
      <c r="AJ43" s="303"/>
      <c r="AK43" s="321">
        <f t="shared" si="4"/>
        <v>0</v>
      </c>
      <c r="AL43" s="303"/>
      <c r="AM43" s="306"/>
    </row>
    <row r="44" spans="1:39" ht="20.45" customHeight="1">
      <c r="A44" s="386"/>
      <c r="B44" s="172" t="s">
        <v>416</v>
      </c>
      <c r="C44" s="302"/>
      <c r="D44" s="302"/>
      <c r="E44" s="142" t="s">
        <v>413</v>
      </c>
      <c r="F44" s="142" t="s">
        <v>126</v>
      </c>
      <c r="G44" s="142" t="s">
        <v>417</v>
      </c>
      <c r="H44" s="142" t="s">
        <v>418</v>
      </c>
      <c r="I44" s="138">
        <v>19</v>
      </c>
      <c r="J44" s="138">
        <v>0</v>
      </c>
      <c r="K44" s="140" t="s">
        <v>126</v>
      </c>
      <c r="L44" s="302"/>
      <c r="M44" s="327">
        <v>0</v>
      </c>
      <c r="N44" s="303">
        <v>0</v>
      </c>
      <c r="O44" s="331">
        <v>0</v>
      </c>
      <c r="P44" s="303">
        <v>0</v>
      </c>
      <c r="Q44" s="155">
        <v>258.76</v>
      </c>
      <c r="R44" s="303"/>
      <c r="S44" s="310">
        <v>25</v>
      </c>
      <c r="T44" s="404" t="s">
        <v>261</v>
      </c>
      <c r="U44" s="350">
        <f>S44-W44</f>
        <v>25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319">
        <f t="shared" si="27"/>
        <v>0</v>
      </c>
      <c r="AB44" s="156">
        <f t="shared" si="1"/>
        <v>0</v>
      </c>
      <c r="AC44" s="319">
        <v>0</v>
      </c>
      <c r="AD44" s="319">
        <v>0</v>
      </c>
      <c r="AE44" s="319">
        <v>0</v>
      </c>
      <c r="AF44" s="319">
        <f t="shared" si="28"/>
        <v>0</v>
      </c>
      <c r="AG44" s="156">
        <f t="shared" si="3"/>
        <v>0</v>
      </c>
      <c r="AH44" s="303"/>
      <c r="AI44" s="303"/>
      <c r="AJ44" s="303"/>
      <c r="AK44" s="321">
        <f t="shared" si="4"/>
        <v>0</v>
      </c>
      <c r="AL44" s="303"/>
      <c r="AM44" s="306"/>
    </row>
    <row r="45" spans="1:39" ht="20.25" customHeight="1">
      <c r="A45" s="386"/>
      <c r="B45" s="172" t="s">
        <v>419</v>
      </c>
      <c r="C45" s="302"/>
      <c r="D45" s="302"/>
      <c r="E45" s="142" t="s">
        <v>413</v>
      </c>
      <c r="F45" s="142" t="s">
        <v>126</v>
      </c>
      <c r="G45" s="142" t="s">
        <v>420</v>
      </c>
      <c r="H45" s="142" t="s">
        <v>421</v>
      </c>
      <c r="I45" s="138">
        <v>19</v>
      </c>
      <c r="J45" s="138">
        <v>0</v>
      </c>
      <c r="K45" s="140" t="s">
        <v>126</v>
      </c>
      <c r="L45" s="302"/>
      <c r="M45" s="327">
        <v>0</v>
      </c>
      <c r="N45" s="303">
        <v>0</v>
      </c>
      <c r="O45" s="331">
        <v>0</v>
      </c>
      <c r="P45" s="303">
        <v>0</v>
      </c>
      <c r="Q45" s="155">
        <v>84</v>
      </c>
      <c r="R45" s="303"/>
      <c r="S45" s="310"/>
      <c r="T45" s="404" t="s">
        <v>261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319">
        <f t="shared" si="27"/>
        <v>0</v>
      </c>
      <c r="AB45" s="156">
        <f t="shared" si="1"/>
        <v>0</v>
      </c>
      <c r="AC45" s="319">
        <v>0</v>
      </c>
      <c r="AD45" s="319">
        <v>0</v>
      </c>
      <c r="AE45" s="319">
        <v>0</v>
      </c>
      <c r="AF45" s="319">
        <f t="shared" si="28"/>
        <v>0</v>
      </c>
      <c r="AG45" s="156">
        <f t="shared" si="3"/>
        <v>0</v>
      </c>
      <c r="AH45" s="303"/>
      <c r="AI45" s="303"/>
      <c r="AJ45" s="303"/>
      <c r="AK45" s="321">
        <f t="shared" si="4"/>
        <v>0</v>
      </c>
      <c r="AL45" s="303"/>
      <c r="AM45" s="306"/>
    </row>
    <row r="46" spans="1:39" ht="25.5">
      <c r="A46" s="386"/>
      <c r="B46" s="172" t="s">
        <v>422</v>
      </c>
      <c r="C46" s="302"/>
      <c r="D46" s="302"/>
      <c r="E46" s="142" t="s">
        <v>413</v>
      </c>
      <c r="F46" s="142"/>
      <c r="G46" s="142" t="s">
        <v>423</v>
      </c>
      <c r="H46" s="142" t="s">
        <v>424</v>
      </c>
      <c r="I46" s="138">
        <v>2</v>
      </c>
      <c r="J46" s="138">
        <v>0</v>
      </c>
      <c r="K46" s="140" t="s">
        <v>126</v>
      </c>
      <c r="L46" s="302"/>
      <c r="M46" s="327">
        <v>0</v>
      </c>
      <c r="N46" s="303">
        <v>0</v>
      </c>
      <c r="O46" s="331">
        <v>0</v>
      </c>
      <c r="P46" s="303">
        <v>0</v>
      </c>
      <c r="Q46" s="155">
        <v>161.41</v>
      </c>
      <c r="R46" s="303"/>
      <c r="S46" s="310"/>
      <c r="T46" s="404" t="s">
        <v>261</v>
      </c>
      <c r="U46" s="319">
        <v>0</v>
      </c>
      <c r="V46" s="319">
        <v>0</v>
      </c>
      <c r="W46" s="319">
        <v>0</v>
      </c>
      <c r="X46" s="319">
        <v>0</v>
      </c>
      <c r="Y46" s="319">
        <v>0</v>
      </c>
      <c r="Z46" s="319">
        <v>0</v>
      </c>
      <c r="AA46" s="319">
        <f t="shared" si="27"/>
        <v>0</v>
      </c>
      <c r="AB46" s="156">
        <f t="shared" si="1"/>
        <v>0</v>
      </c>
      <c r="AC46" s="319">
        <v>0</v>
      </c>
      <c r="AD46" s="319">
        <v>0</v>
      </c>
      <c r="AE46" s="319">
        <v>0</v>
      </c>
      <c r="AF46" s="319">
        <f t="shared" si="28"/>
        <v>0</v>
      </c>
      <c r="AG46" s="156">
        <f t="shared" si="3"/>
        <v>0</v>
      </c>
      <c r="AH46" s="303"/>
      <c r="AI46" s="303"/>
      <c r="AJ46" s="303"/>
      <c r="AK46" s="321">
        <f t="shared" si="4"/>
        <v>0</v>
      </c>
      <c r="AL46" s="303"/>
      <c r="AM46" s="306"/>
    </row>
    <row r="47" spans="1:39" ht="18" customHeight="1">
      <c r="A47" s="386"/>
      <c r="B47" s="172" t="s">
        <v>425</v>
      </c>
      <c r="C47" s="302"/>
      <c r="D47" s="302"/>
      <c r="E47" s="142" t="s">
        <v>413</v>
      </c>
      <c r="F47" s="142" t="s">
        <v>126</v>
      </c>
      <c r="G47" s="142" t="s">
        <v>426</v>
      </c>
      <c r="H47" s="142" t="s">
        <v>427</v>
      </c>
      <c r="I47" s="138">
        <v>1</v>
      </c>
      <c r="J47" s="138">
        <v>0</v>
      </c>
      <c r="K47" s="140" t="s">
        <v>126</v>
      </c>
      <c r="L47" s="326"/>
      <c r="M47" s="327">
        <v>0</v>
      </c>
      <c r="N47" s="303">
        <v>0</v>
      </c>
      <c r="O47" s="331">
        <v>0</v>
      </c>
      <c r="P47" s="303">
        <v>0</v>
      </c>
      <c r="Q47" s="154">
        <v>84.97</v>
      </c>
      <c r="R47" s="405"/>
      <c r="S47" s="310">
        <v>33</v>
      </c>
      <c r="T47" s="142" t="s">
        <v>261</v>
      </c>
      <c r="U47" s="350">
        <f>S47-W47</f>
        <v>28.87</v>
      </c>
      <c r="V47" s="319">
        <v>0</v>
      </c>
      <c r="W47" s="195">
        <v>4.13</v>
      </c>
      <c r="X47" s="319">
        <v>0</v>
      </c>
      <c r="Y47" s="319">
        <v>0</v>
      </c>
      <c r="Z47" s="319">
        <v>0</v>
      </c>
      <c r="AA47" s="319">
        <f t="shared" si="27"/>
        <v>0</v>
      </c>
      <c r="AB47" s="156">
        <f t="shared" si="1"/>
        <v>0</v>
      </c>
      <c r="AC47" s="319">
        <v>0</v>
      </c>
      <c r="AD47" s="319">
        <v>0</v>
      </c>
      <c r="AE47" s="319">
        <v>0</v>
      </c>
      <c r="AF47" s="319">
        <f t="shared" si="28"/>
        <v>0</v>
      </c>
      <c r="AG47" s="156">
        <f t="shared" si="3"/>
        <v>0</v>
      </c>
      <c r="AH47" s="303"/>
      <c r="AI47" s="303"/>
      <c r="AJ47" s="303"/>
      <c r="AK47" s="321">
        <f t="shared" si="4"/>
        <v>0</v>
      </c>
      <c r="AL47" s="303"/>
      <c r="AM47" s="306"/>
    </row>
    <row r="48" spans="1:39" ht="18.600000000000001" customHeight="1">
      <c r="A48" s="386"/>
      <c r="B48" s="172" t="s">
        <v>428</v>
      </c>
      <c r="C48" s="302"/>
      <c r="D48" s="302"/>
      <c r="E48" s="142" t="s">
        <v>413</v>
      </c>
      <c r="F48" s="142" t="s">
        <v>98</v>
      </c>
      <c r="G48" s="142" t="s">
        <v>429</v>
      </c>
      <c r="H48" s="142" t="s">
        <v>430</v>
      </c>
      <c r="I48" s="138">
        <v>19</v>
      </c>
      <c r="J48" s="138">
        <v>0</v>
      </c>
      <c r="K48" s="140" t="s">
        <v>126</v>
      </c>
      <c r="L48" s="326"/>
      <c r="M48" s="327">
        <v>0</v>
      </c>
      <c r="N48" s="303">
        <v>0</v>
      </c>
      <c r="O48" s="331">
        <v>0</v>
      </c>
      <c r="P48" s="303">
        <v>0</v>
      </c>
      <c r="Q48" s="154">
        <v>78.2</v>
      </c>
      <c r="R48" s="405"/>
      <c r="S48" s="310">
        <v>5</v>
      </c>
      <c r="T48" s="142" t="s">
        <v>261</v>
      </c>
      <c r="U48" s="350">
        <f>S48-W48</f>
        <v>4.37</v>
      </c>
      <c r="V48" s="319">
        <v>0</v>
      </c>
      <c r="W48" s="195">
        <v>0.63</v>
      </c>
      <c r="X48" s="319">
        <v>0</v>
      </c>
      <c r="Y48" s="319">
        <v>0</v>
      </c>
      <c r="Z48" s="319">
        <v>0</v>
      </c>
      <c r="AA48" s="319">
        <f t="shared" si="27"/>
        <v>0</v>
      </c>
      <c r="AB48" s="156">
        <f t="shared" si="1"/>
        <v>0</v>
      </c>
      <c r="AC48" s="319">
        <v>0</v>
      </c>
      <c r="AD48" s="319">
        <v>0</v>
      </c>
      <c r="AE48" s="319">
        <v>0</v>
      </c>
      <c r="AF48" s="319">
        <f t="shared" si="28"/>
        <v>0</v>
      </c>
      <c r="AG48" s="156">
        <f t="shared" si="3"/>
        <v>0</v>
      </c>
      <c r="AH48" s="303"/>
      <c r="AI48" s="303"/>
      <c r="AJ48" s="303"/>
      <c r="AK48" s="321">
        <f t="shared" si="4"/>
        <v>0</v>
      </c>
      <c r="AL48" s="303"/>
      <c r="AM48" s="306"/>
    </row>
    <row r="49" spans="1:40" ht="18.600000000000001" customHeight="1">
      <c r="A49" s="386"/>
      <c r="B49" s="172" t="s">
        <v>431</v>
      </c>
      <c r="C49" s="302"/>
      <c r="D49" s="302"/>
      <c r="E49" s="142" t="s">
        <v>413</v>
      </c>
      <c r="F49" s="142" t="s">
        <v>98</v>
      </c>
      <c r="G49" s="142" t="s">
        <v>432</v>
      </c>
      <c r="H49" s="142" t="s">
        <v>433</v>
      </c>
      <c r="I49" s="138">
        <v>19</v>
      </c>
      <c r="J49" s="138">
        <v>0</v>
      </c>
      <c r="K49" s="140" t="s">
        <v>126</v>
      </c>
      <c r="L49" s="326"/>
      <c r="M49" s="327">
        <v>0</v>
      </c>
      <c r="N49" s="303">
        <v>0</v>
      </c>
      <c r="O49" s="331">
        <v>0</v>
      </c>
      <c r="P49" s="303">
        <v>0</v>
      </c>
      <c r="Q49" s="154">
        <v>61.5</v>
      </c>
      <c r="R49" s="405"/>
      <c r="S49" s="310">
        <v>5.2</v>
      </c>
      <c r="T49" s="142" t="s">
        <v>261</v>
      </c>
      <c r="U49" s="350">
        <f>S49-W49</f>
        <v>4.55</v>
      </c>
      <c r="V49" s="319">
        <v>0</v>
      </c>
      <c r="W49" s="195">
        <v>0.65</v>
      </c>
      <c r="X49" s="319">
        <v>0</v>
      </c>
      <c r="Y49" s="319">
        <v>0</v>
      </c>
      <c r="Z49" s="319">
        <v>0</v>
      </c>
      <c r="AA49" s="319">
        <f t="shared" si="27"/>
        <v>0</v>
      </c>
      <c r="AB49" s="156">
        <f t="shared" si="1"/>
        <v>0</v>
      </c>
      <c r="AC49" s="319">
        <v>0</v>
      </c>
      <c r="AD49" s="319">
        <v>0</v>
      </c>
      <c r="AE49" s="319">
        <v>0</v>
      </c>
      <c r="AF49" s="319">
        <f t="shared" si="28"/>
        <v>0</v>
      </c>
      <c r="AG49" s="156">
        <f t="shared" si="3"/>
        <v>0</v>
      </c>
      <c r="AH49" s="303"/>
      <c r="AI49" s="303"/>
      <c r="AJ49" s="303"/>
      <c r="AK49" s="321">
        <f t="shared" si="4"/>
        <v>0</v>
      </c>
      <c r="AL49" s="303"/>
      <c r="AM49" s="306"/>
    </row>
    <row r="50" spans="1:40" s="289" customFormat="1">
      <c r="A50" s="360"/>
      <c r="B50" s="169" t="s">
        <v>434</v>
      </c>
      <c r="C50" s="301"/>
      <c r="D50" s="301"/>
      <c r="E50" s="131"/>
      <c r="F50" s="132"/>
      <c r="G50" s="132"/>
      <c r="H50" s="132"/>
      <c r="I50" s="132">
        <v>29</v>
      </c>
      <c r="J50" s="132">
        <v>0</v>
      </c>
      <c r="K50" s="140"/>
      <c r="L50" s="406"/>
      <c r="M50" s="327">
        <v>0</v>
      </c>
      <c r="N50" s="303">
        <v>0</v>
      </c>
      <c r="O50" s="331">
        <v>0</v>
      </c>
      <c r="P50" s="303">
        <v>0</v>
      </c>
      <c r="Q50" s="168">
        <f>SUM(Q43:Q49)</f>
        <v>796.1400000000001</v>
      </c>
      <c r="R50" s="389"/>
      <c r="S50" s="310">
        <f>SUM(S43:S49)</f>
        <v>78.2</v>
      </c>
      <c r="T50" s="131"/>
      <c r="U50" s="392">
        <f t="shared" ref="U50:AM50" si="29">SUM(U43:U49)</f>
        <v>72.790000000000006</v>
      </c>
      <c r="V50" s="392">
        <f t="shared" si="29"/>
        <v>0</v>
      </c>
      <c r="W50" s="392">
        <f>SUM(W43:W49)</f>
        <v>5.41</v>
      </c>
      <c r="X50" s="392">
        <f t="shared" ref="X50:AA50" si="30">SUM(X43:X49)</f>
        <v>0</v>
      </c>
      <c r="Y50" s="392">
        <f t="shared" si="30"/>
        <v>0</v>
      </c>
      <c r="Z50" s="392">
        <f t="shared" si="30"/>
        <v>0</v>
      </c>
      <c r="AA50" s="392">
        <f t="shared" si="30"/>
        <v>0</v>
      </c>
      <c r="AB50" s="161">
        <f t="shared" si="1"/>
        <v>0</v>
      </c>
      <c r="AC50" s="392">
        <f t="shared" ref="AC50:AF50" si="31">SUM(AC43:AC49)</f>
        <v>0</v>
      </c>
      <c r="AD50" s="392">
        <f t="shared" si="31"/>
        <v>0</v>
      </c>
      <c r="AE50" s="392">
        <f t="shared" si="31"/>
        <v>0</v>
      </c>
      <c r="AF50" s="392">
        <f t="shared" si="31"/>
        <v>0</v>
      </c>
      <c r="AG50" s="161">
        <f t="shared" si="3"/>
        <v>0</v>
      </c>
      <c r="AH50" s="382"/>
      <c r="AI50" s="382">
        <f t="shared" si="29"/>
        <v>0</v>
      </c>
      <c r="AJ50" s="382">
        <f t="shared" si="29"/>
        <v>0</v>
      </c>
      <c r="AK50" s="382">
        <f t="shared" si="29"/>
        <v>0</v>
      </c>
      <c r="AL50" s="382">
        <f t="shared" si="29"/>
        <v>0</v>
      </c>
      <c r="AM50" s="382">
        <f t="shared" si="29"/>
        <v>0</v>
      </c>
      <c r="AN50" s="299"/>
    </row>
    <row r="51" spans="1:40">
      <c r="A51" s="302"/>
      <c r="B51" s="169" t="s">
        <v>435</v>
      </c>
      <c r="C51" s="302"/>
      <c r="D51" s="302"/>
      <c r="E51" s="142"/>
      <c r="F51" s="142"/>
      <c r="G51" s="142"/>
      <c r="H51" s="142"/>
      <c r="I51" s="138"/>
      <c r="J51" s="138"/>
      <c r="K51" s="140"/>
      <c r="L51" s="302"/>
      <c r="M51" s="327">
        <v>0</v>
      </c>
      <c r="N51" s="303">
        <v>0</v>
      </c>
      <c r="O51" s="331">
        <v>0</v>
      </c>
      <c r="P51" s="303">
        <v>0</v>
      </c>
      <c r="Q51" s="154"/>
      <c r="R51" s="303"/>
      <c r="S51" s="310"/>
      <c r="T51" s="142"/>
      <c r="U51" s="195"/>
      <c r="V51" s="195"/>
      <c r="W51" s="195"/>
      <c r="X51" s="319"/>
      <c r="Y51" s="319"/>
      <c r="Z51" s="319"/>
      <c r="AA51" s="319"/>
      <c r="AB51" s="156"/>
      <c r="AC51" s="319"/>
      <c r="AD51" s="319"/>
      <c r="AE51" s="319"/>
      <c r="AF51" s="319"/>
      <c r="AG51" s="156"/>
      <c r="AH51" s="303"/>
      <c r="AI51" s="303"/>
      <c r="AJ51" s="303"/>
      <c r="AK51" s="321">
        <f t="shared" si="4"/>
        <v>0</v>
      </c>
      <c r="AL51" s="303"/>
      <c r="AM51" s="306"/>
    </row>
    <row r="52" spans="1:40" ht="18" customHeight="1">
      <c r="A52" s="385"/>
      <c r="B52" s="172" t="s">
        <v>436</v>
      </c>
      <c r="C52" s="302"/>
      <c r="D52" s="302"/>
      <c r="E52" s="142" t="s">
        <v>413</v>
      </c>
      <c r="F52" s="138" t="s">
        <v>98</v>
      </c>
      <c r="G52" s="138" t="s">
        <v>437</v>
      </c>
      <c r="H52" s="138" t="s">
        <v>438</v>
      </c>
      <c r="I52" s="142">
        <v>1</v>
      </c>
      <c r="J52" s="138">
        <v>0</v>
      </c>
      <c r="K52" s="140">
        <v>1</v>
      </c>
      <c r="L52" s="326"/>
      <c r="M52" s="327">
        <v>0</v>
      </c>
      <c r="N52" s="303">
        <v>0</v>
      </c>
      <c r="O52" s="331">
        <v>0</v>
      </c>
      <c r="P52" s="303">
        <v>0</v>
      </c>
      <c r="Q52" s="154">
        <v>52</v>
      </c>
      <c r="R52" s="405"/>
      <c r="S52" s="310">
        <v>60</v>
      </c>
      <c r="T52" s="142" t="s">
        <v>270</v>
      </c>
      <c r="U52" s="350">
        <f>S52-W52</f>
        <v>52.5</v>
      </c>
      <c r="V52" s="319">
        <v>0</v>
      </c>
      <c r="W52" s="407">
        <v>7.5</v>
      </c>
      <c r="X52" s="319">
        <v>0</v>
      </c>
      <c r="Y52" s="319">
        <v>0</v>
      </c>
      <c r="Z52" s="319">
        <v>0</v>
      </c>
      <c r="AA52" s="319">
        <f t="shared" ref="AA52:AA54" si="32">SUM(X52:Z52)</f>
        <v>0</v>
      </c>
      <c r="AB52" s="156">
        <f t="shared" si="1"/>
        <v>0</v>
      </c>
      <c r="AC52" s="319">
        <v>0</v>
      </c>
      <c r="AD52" s="319">
        <v>0</v>
      </c>
      <c r="AE52" s="319">
        <v>0</v>
      </c>
      <c r="AF52" s="319">
        <f t="shared" ref="AF52:AF54" si="33">SUM(AC52:AE52)</f>
        <v>0</v>
      </c>
      <c r="AG52" s="156">
        <f t="shared" si="3"/>
        <v>0</v>
      </c>
      <c r="AH52" s="303"/>
      <c r="AI52" s="303"/>
      <c r="AJ52" s="303"/>
      <c r="AK52" s="321">
        <f t="shared" si="4"/>
        <v>0</v>
      </c>
      <c r="AL52" s="303"/>
      <c r="AM52" s="306" t="s">
        <v>439</v>
      </c>
    </row>
    <row r="53" spans="1:40" s="324" customFormat="1" ht="18" customHeight="1">
      <c r="A53" s="408"/>
      <c r="B53" s="172" t="s">
        <v>440</v>
      </c>
      <c r="C53" s="317"/>
      <c r="D53" s="317"/>
      <c r="E53" s="142" t="s">
        <v>413</v>
      </c>
      <c r="F53" s="142" t="s">
        <v>98</v>
      </c>
      <c r="G53" s="142" t="s">
        <v>441</v>
      </c>
      <c r="H53" s="138" t="s">
        <v>442</v>
      </c>
      <c r="I53" s="138">
        <v>2</v>
      </c>
      <c r="J53" s="138">
        <v>0</v>
      </c>
      <c r="K53" s="140">
        <v>2</v>
      </c>
      <c r="L53" s="314"/>
      <c r="M53" s="327">
        <v>0</v>
      </c>
      <c r="N53" s="303">
        <v>0</v>
      </c>
      <c r="O53" s="331">
        <v>0</v>
      </c>
      <c r="P53" s="303">
        <v>0</v>
      </c>
      <c r="Q53" s="154">
        <v>5</v>
      </c>
      <c r="R53" s="314"/>
      <c r="S53" s="316"/>
      <c r="T53" s="142" t="s">
        <v>270</v>
      </c>
      <c r="U53" s="350">
        <f>S53-W53</f>
        <v>0</v>
      </c>
      <c r="V53" s="319">
        <v>0</v>
      </c>
      <c r="W53" s="319">
        <v>0</v>
      </c>
      <c r="X53" s="319">
        <v>0</v>
      </c>
      <c r="Y53" s="319">
        <v>0</v>
      </c>
      <c r="Z53" s="319">
        <v>0</v>
      </c>
      <c r="AA53" s="319">
        <f t="shared" si="32"/>
        <v>0</v>
      </c>
      <c r="AB53" s="156">
        <f t="shared" si="1"/>
        <v>0</v>
      </c>
      <c r="AC53" s="319">
        <v>0</v>
      </c>
      <c r="AD53" s="319">
        <v>0</v>
      </c>
      <c r="AE53" s="319">
        <v>0</v>
      </c>
      <c r="AF53" s="319">
        <f t="shared" si="33"/>
        <v>0</v>
      </c>
      <c r="AG53" s="156">
        <f t="shared" si="3"/>
        <v>0</v>
      </c>
      <c r="AH53" s="314"/>
      <c r="AI53" s="314"/>
      <c r="AJ53" s="314"/>
      <c r="AK53" s="321">
        <f t="shared" si="4"/>
        <v>0</v>
      </c>
      <c r="AL53" s="314"/>
      <c r="AM53" s="322"/>
      <c r="AN53" s="323"/>
    </row>
    <row r="54" spans="1:40" s="414" customFormat="1" ht="19.899999999999999" customHeight="1">
      <c r="A54" s="409"/>
      <c r="B54" s="172" t="s">
        <v>443</v>
      </c>
      <c r="C54" s="383"/>
      <c r="D54" s="383"/>
      <c r="E54" s="142" t="s">
        <v>413</v>
      </c>
      <c r="F54" s="142" t="s">
        <v>444</v>
      </c>
      <c r="G54" s="142" t="s">
        <v>445</v>
      </c>
      <c r="H54" s="138" t="s">
        <v>446</v>
      </c>
      <c r="I54" s="138">
        <v>29</v>
      </c>
      <c r="J54" s="138">
        <v>0</v>
      </c>
      <c r="K54" s="140">
        <v>15</v>
      </c>
      <c r="L54" s="314"/>
      <c r="M54" s="327">
        <v>0</v>
      </c>
      <c r="N54" s="303">
        <v>0</v>
      </c>
      <c r="O54" s="331">
        <v>0</v>
      </c>
      <c r="P54" s="303">
        <v>0</v>
      </c>
      <c r="Q54" s="410">
        <v>69.08</v>
      </c>
      <c r="R54" s="314"/>
      <c r="S54" s="411">
        <v>37.1</v>
      </c>
      <c r="T54" s="142" t="s">
        <v>270</v>
      </c>
      <c r="U54" s="350">
        <f>S54-W54</f>
        <v>32.46</v>
      </c>
      <c r="V54" s="319">
        <v>0</v>
      </c>
      <c r="W54" s="195">
        <v>4.6399999999999997</v>
      </c>
      <c r="X54" s="319">
        <v>0</v>
      </c>
      <c r="Y54" s="319">
        <v>0</v>
      </c>
      <c r="Z54" s="319">
        <v>0</v>
      </c>
      <c r="AA54" s="319">
        <f t="shared" si="32"/>
        <v>0</v>
      </c>
      <c r="AB54" s="156">
        <f t="shared" si="1"/>
        <v>0</v>
      </c>
      <c r="AC54" s="319">
        <v>0</v>
      </c>
      <c r="AD54" s="319">
        <v>0</v>
      </c>
      <c r="AE54" s="319">
        <v>0</v>
      </c>
      <c r="AF54" s="319">
        <f t="shared" si="33"/>
        <v>0</v>
      </c>
      <c r="AG54" s="156">
        <f t="shared" si="3"/>
        <v>0</v>
      </c>
      <c r="AH54" s="314"/>
      <c r="AI54" s="314"/>
      <c r="AJ54" s="314"/>
      <c r="AK54" s="321">
        <f t="shared" si="4"/>
        <v>0</v>
      </c>
      <c r="AL54" s="314"/>
      <c r="AM54" s="412"/>
      <c r="AN54" s="413"/>
    </row>
    <row r="55" spans="1:40" s="324" customFormat="1" ht="15" customHeight="1">
      <c r="A55" s="415"/>
      <c r="B55" s="169" t="s">
        <v>388</v>
      </c>
      <c r="C55" s="317"/>
      <c r="D55" s="317"/>
      <c r="E55" s="142"/>
      <c r="F55" s="138"/>
      <c r="G55" s="138"/>
      <c r="H55" s="138"/>
      <c r="I55" s="142"/>
      <c r="J55" s="138"/>
      <c r="K55" s="140"/>
      <c r="L55" s="312"/>
      <c r="M55" s="327">
        <v>0</v>
      </c>
      <c r="N55" s="303">
        <v>0</v>
      </c>
      <c r="O55" s="331">
        <v>0</v>
      </c>
      <c r="P55" s="303">
        <v>0</v>
      </c>
      <c r="Q55" s="168">
        <f>SUM(Q52:Q54)</f>
        <v>126.08</v>
      </c>
      <c r="R55" s="314"/>
      <c r="S55" s="416">
        <f>SUM(S52:S54)</f>
        <v>97.1</v>
      </c>
      <c r="T55" s="131"/>
      <c r="U55" s="392">
        <f t="shared" ref="U55:AA55" si="34">SUM(U52:U54)</f>
        <v>84.960000000000008</v>
      </c>
      <c r="V55" s="392">
        <f t="shared" si="34"/>
        <v>0</v>
      </c>
      <c r="W55" s="392">
        <f t="shared" si="34"/>
        <v>12.14</v>
      </c>
      <c r="X55" s="392">
        <f t="shared" si="34"/>
        <v>0</v>
      </c>
      <c r="Y55" s="392">
        <f t="shared" si="34"/>
        <v>0</v>
      </c>
      <c r="Z55" s="392">
        <f t="shared" si="34"/>
        <v>0</v>
      </c>
      <c r="AA55" s="392">
        <f t="shared" si="34"/>
        <v>0</v>
      </c>
      <c r="AB55" s="161">
        <f t="shared" si="1"/>
        <v>0</v>
      </c>
      <c r="AC55" s="392">
        <f t="shared" ref="AC55:AF55" si="35">SUM(AC52:AC54)</f>
        <v>0</v>
      </c>
      <c r="AD55" s="392">
        <f t="shared" si="35"/>
        <v>0</v>
      </c>
      <c r="AE55" s="392">
        <f t="shared" si="35"/>
        <v>0</v>
      </c>
      <c r="AF55" s="392">
        <f t="shared" si="35"/>
        <v>0</v>
      </c>
      <c r="AG55" s="161">
        <f t="shared" si="3"/>
        <v>0</v>
      </c>
      <c r="AH55" s="417"/>
      <c r="AI55" s="417"/>
      <c r="AJ55" s="417"/>
      <c r="AK55" s="321">
        <f t="shared" si="4"/>
        <v>0</v>
      </c>
      <c r="AL55" s="417"/>
      <c r="AM55" s="322"/>
      <c r="AN55" s="323"/>
    </row>
    <row r="56" spans="1:40" s="324" customFormat="1" ht="22.5" customHeight="1">
      <c r="A56" s="317"/>
      <c r="B56" s="169" t="s">
        <v>389</v>
      </c>
      <c r="C56" s="317"/>
      <c r="D56" s="317"/>
      <c r="E56" s="142"/>
      <c r="F56" s="142"/>
      <c r="G56" s="142"/>
      <c r="H56" s="142"/>
      <c r="I56" s="138"/>
      <c r="J56" s="138"/>
      <c r="K56" s="140"/>
      <c r="L56" s="317"/>
      <c r="M56" s="418"/>
      <c r="N56" s="314"/>
      <c r="O56" s="314"/>
      <c r="P56" s="314"/>
      <c r="Q56" s="154"/>
      <c r="R56" s="314"/>
      <c r="S56" s="416"/>
      <c r="T56" s="142"/>
      <c r="U56" s="195"/>
      <c r="V56" s="195"/>
      <c r="W56" s="195"/>
      <c r="X56" s="195"/>
      <c r="Y56" s="195"/>
      <c r="Z56" s="195"/>
      <c r="AA56" s="195"/>
      <c r="AB56" s="156"/>
      <c r="AC56" s="195"/>
      <c r="AD56" s="195"/>
      <c r="AE56" s="195"/>
      <c r="AF56" s="195"/>
      <c r="AG56" s="156"/>
      <c r="AH56" s="314"/>
      <c r="AI56" s="314"/>
      <c r="AJ56" s="314"/>
      <c r="AK56" s="321">
        <f t="shared" si="4"/>
        <v>0</v>
      </c>
      <c r="AL56" s="314"/>
      <c r="AM56" s="322"/>
      <c r="AN56" s="323"/>
    </row>
    <row r="57" spans="1:40" ht="24.75" customHeight="1">
      <c r="A57" s="385"/>
      <c r="B57" s="172" t="s">
        <v>447</v>
      </c>
      <c r="C57" s="302"/>
      <c r="D57" s="302"/>
      <c r="E57" s="142" t="s">
        <v>413</v>
      </c>
      <c r="F57" s="142" t="s">
        <v>320</v>
      </c>
      <c r="G57" s="138" t="s">
        <v>448</v>
      </c>
      <c r="H57" s="142" t="s">
        <v>449</v>
      </c>
      <c r="I57" s="138">
        <v>702</v>
      </c>
      <c r="J57" s="138">
        <v>0</v>
      </c>
      <c r="K57" s="140">
        <v>176</v>
      </c>
      <c r="L57" s="312"/>
      <c r="M57" s="155">
        <v>0</v>
      </c>
      <c r="N57" s="144">
        <v>0</v>
      </c>
      <c r="O57" s="155">
        <v>0</v>
      </c>
      <c r="P57" s="144">
        <v>0</v>
      </c>
      <c r="Q57" s="154">
        <v>833.7</v>
      </c>
      <c r="R57" s="314"/>
      <c r="S57" s="416">
        <v>10</v>
      </c>
      <c r="T57" s="142" t="s">
        <v>323</v>
      </c>
      <c r="U57" s="350">
        <f>S57-W57</f>
        <v>8.75</v>
      </c>
      <c r="V57" s="419">
        <v>0</v>
      </c>
      <c r="W57" s="319">
        <v>1.25</v>
      </c>
      <c r="X57" s="319">
        <v>0</v>
      </c>
      <c r="Y57" s="319">
        <v>0</v>
      </c>
      <c r="Z57" s="319">
        <v>0</v>
      </c>
      <c r="AA57" s="319">
        <f t="shared" ref="AA57:AA60" si="36">SUM(X57:Z57)</f>
        <v>0</v>
      </c>
      <c r="AB57" s="156">
        <f t="shared" si="1"/>
        <v>0</v>
      </c>
      <c r="AC57" s="319">
        <v>0</v>
      </c>
      <c r="AD57" s="319">
        <v>0</v>
      </c>
      <c r="AE57" s="319">
        <v>0</v>
      </c>
      <c r="AF57" s="319">
        <f t="shared" ref="AF57:AF60" si="37">SUM(AC57:AE57)</f>
        <v>0</v>
      </c>
      <c r="AG57" s="156">
        <f t="shared" si="3"/>
        <v>0</v>
      </c>
      <c r="AH57" s="303"/>
      <c r="AI57" s="303"/>
      <c r="AJ57" s="303"/>
      <c r="AK57" s="321">
        <f t="shared" si="4"/>
        <v>0</v>
      </c>
      <c r="AL57" s="303"/>
      <c r="AM57" s="302" t="s">
        <v>450</v>
      </c>
      <c r="AN57" s="420"/>
    </row>
    <row r="58" spans="1:40" s="324" customFormat="1" ht="23.45" customHeight="1">
      <c r="A58" s="408"/>
      <c r="B58" s="342" t="s">
        <v>451</v>
      </c>
      <c r="C58" s="317"/>
      <c r="D58" s="317"/>
      <c r="E58" s="142" t="s">
        <v>413</v>
      </c>
      <c r="F58" s="142" t="s">
        <v>98</v>
      </c>
      <c r="G58" s="138" t="s">
        <v>452</v>
      </c>
      <c r="H58" s="142"/>
      <c r="I58" s="138">
        <v>2</v>
      </c>
      <c r="J58" s="138">
        <v>0</v>
      </c>
      <c r="K58" s="140">
        <v>2</v>
      </c>
      <c r="L58" s="317"/>
      <c r="M58" s="155">
        <v>0</v>
      </c>
      <c r="N58" s="144">
        <v>0</v>
      </c>
      <c r="O58" s="155">
        <v>0</v>
      </c>
      <c r="P58" s="144">
        <v>0</v>
      </c>
      <c r="Q58" s="421">
        <v>15.84</v>
      </c>
      <c r="R58" s="314"/>
      <c r="S58" s="416">
        <v>2.7</v>
      </c>
      <c r="T58" s="142" t="s">
        <v>323</v>
      </c>
      <c r="U58" s="350">
        <f>S58-W58</f>
        <v>2.3600000000000003</v>
      </c>
      <c r="V58" s="319">
        <v>0</v>
      </c>
      <c r="W58" s="195">
        <v>0.34</v>
      </c>
      <c r="X58" s="319">
        <v>0</v>
      </c>
      <c r="Y58" s="319">
        <v>0</v>
      </c>
      <c r="Z58" s="319">
        <v>0</v>
      </c>
      <c r="AA58" s="319">
        <f t="shared" si="36"/>
        <v>0</v>
      </c>
      <c r="AB58" s="156">
        <f t="shared" si="1"/>
        <v>0</v>
      </c>
      <c r="AC58" s="319">
        <v>0</v>
      </c>
      <c r="AD58" s="319">
        <v>0</v>
      </c>
      <c r="AE58" s="319">
        <v>0</v>
      </c>
      <c r="AF58" s="319">
        <f t="shared" si="37"/>
        <v>0</v>
      </c>
      <c r="AG58" s="156">
        <f t="shared" si="3"/>
        <v>0</v>
      </c>
      <c r="AH58" s="314"/>
      <c r="AI58" s="314"/>
      <c r="AJ58" s="314"/>
      <c r="AK58" s="321">
        <f t="shared" si="4"/>
        <v>0</v>
      </c>
      <c r="AL58" s="314"/>
      <c r="AM58" s="322"/>
      <c r="AN58" s="323"/>
    </row>
    <row r="59" spans="1:40" s="324" customFormat="1" ht="110.25" customHeight="1">
      <c r="A59" s="408"/>
      <c r="B59" s="172" t="s">
        <v>453</v>
      </c>
      <c r="C59" s="317"/>
      <c r="D59" s="422"/>
      <c r="E59" s="142" t="s">
        <v>413</v>
      </c>
      <c r="F59" s="142" t="s">
        <v>126</v>
      </c>
      <c r="G59" s="138"/>
      <c r="H59" s="423" t="s">
        <v>454</v>
      </c>
      <c r="I59" s="138" t="s">
        <v>126</v>
      </c>
      <c r="J59" s="138"/>
      <c r="K59" s="140" t="s">
        <v>126</v>
      </c>
      <c r="L59" s="317"/>
      <c r="M59" s="155">
        <v>0</v>
      </c>
      <c r="N59" s="144">
        <v>0</v>
      </c>
      <c r="O59" s="155">
        <v>0</v>
      </c>
      <c r="P59" s="144">
        <v>0</v>
      </c>
      <c r="Q59" s="155">
        <v>103.04</v>
      </c>
      <c r="R59" s="314"/>
      <c r="S59" s="416">
        <v>13.11</v>
      </c>
      <c r="T59" s="142" t="s">
        <v>270</v>
      </c>
      <c r="U59" s="350">
        <f>S59-W59</f>
        <v>11.469999999999999</v>
      </c>
      <c r="V59" s="319">
        <v>0</v>
      </c>
      <c r="W59" s="195">
        <v>1.64</v>
      </c>
      <c r="X59" s="319">
        <v>0</v>
      </c>
      <c r="Y59" s="319">
        <v>0</v>
      </c>
      <c r="Z59" s="319">
        <v>0</v>
      </c>
      <c r="AA59" s="319">
        <f t="shared" si="36"/>
        <v>0</v>
      </c>
      <c r="AB59" s="156">
        <f t="shared" si="1"/>
        <v>0</v>
      </c>
      <c r="AC59" s="319">
        <v>0</v>
      </c>
      <c r="AD59" s="319">
        <v>0</v>
      </c>
      <c r="AE59" s="319">
        <v>0</v>
      </c>
      <c r="AF59" s="319">
        <f t="shared" si="37"/>
        <v>0</v>
      </c>
      <c r="AG59" s="156">
        <f t="shared" si="3"/>
        <v>0</v>
      </c>
      <c r="AH59" s="314"/>
      <c r="AI59" s="314">
        <f>0.13</f>
        <v>0.13</v>
      </c>
      <c r="AJ59" s="314">
        <v>0</v>
      </c>
      <c r="AK59" s="321">
        <f t="shared" si="4"/>
        <v>0.13</v>
      </c>
      <c r="AL59" s="314"/>
      <c r="AM59" s="322"/>
      <c r="AN59" s="323"/>
    </row>
    <row r="60" spans="1:40" s="324" customFormat="1" ht="29.25" customHeight="1">
      <c r="A60" s="408"/>
      <c r="B60" s="172" t="s">
        <v>455</v>
      </c>
      <c r="C60" s="317"/>
      <c r="D60" s="317"/>
      <c r="E60" s="142" t="s">
        <v>413</v>
      </c>
      <c r="F60" s="142" t="s">
        <v>126</v>
      </c>
      <c r="G60" s="138"/>
      <c r="H60" s="142" t="s">
        <v>456</v>
      </c>
      <c r="I60" s="138">
        <v>66</v>
      </c>
      <c r="J60" s="138"/>
      <c r="K60" s="140" t="s">
        <v>126</v>
      </c>
      <c r="L60" s="317"/>
      <c r="M60" s="418">
        <v>0</v>
      </c>
      <c r="N60" s="314">
        <v>0</v>
      </c>
      <c r="O60" s="424">
        <v>0</v>
      </c>
      <c r="P60" s="314">
        <v>0</v>
      </c>
      <c r="Q60" s="154">
        <v>19.8</v>
      </c>
      <c r="R60" s="314"/>
      <c r="S60" s="416">
        <v>3.27</v>
      </c>
      <c r="T60" s="142" t="s">
        <v>270</v>
      </c>
      <c r="U60" s="350">
        <f>S60-W60</f>
        <v>2.86</v>
      </c>
      <c r="V60" s="195">
        <v>0</v>
      </c>
      <c r="W60" s="195">
        <v>0.41</v>
      </c>
      <c r="X60" s="319">
        <v>0</v>
      </c>
      <c r="Y60" s="319">
        <v>0</v>
      </c>
      <c r="Z60" s="319">
        <v>0</v>
      </c>
      <c r="AA60" s="319">
        <f t="shared" si="36"/>
        <v>0</v>
      </c>
      <c r="AB60" s="156">
        <f t="shared" si="1"/>
        <v>0</v>
      </c>
      <c r="AC60" s="319">
        <v>0</v>
      </c>
      <c r="AD60" s="319">
        <v>0</v>
      </c>
      <c r="AE60" s="319">
        <v>0</v>
      </c>
      <c r="AF60" s="319">
        <f t="shared" si="37"/>
        <v>0</v>
      </c>
      <c r="AG60" s="156">
        <f t="shared" si="3"/>
        <v>0</v>
      </c>
      <c r="AH60" s="314"/>
      <c r="AI60" s="314"/>
      <c r="AJ60" s="314"/>
      <c r="AK60" s="321">
        <f t="shared" si="4"/>
        <v>0</v>
      </c>
      <c r="AL60" s="314"/>
      <c r="AM60" s="322"/>
      <c r="AN60" s="323"/>
    </row>
    <row r="61" spans="1:40" s="324" customFormat="1">
      <c r="A61" s="415"/>
      <c r="B61" s="169" t="s">
        <v>457</v>
      </c>
      <c r="C61" s="317"/>
      <c r="D61" s="317"/>
      <c r="E61" s="142"/>
      <c r="F61" s="142"/>
      <c r="G61" s="138"/>
      <c r="H61" s="142"/>
      <c r="I61" s="138"/>
      <c r="J61" s="138"/>
      <c r="K61" s="140"/>
      <c r="L61" s="312">
        <v>0</v>
      </c>
      <c r="M61" s="313">
        <v>0</v>
      </c>
      <c r="N61" s="314">
        <v>0</v>
      </c>
      <c r="O61" s="314">
        <v>0</v>
      </c>
      <c r="P61" s="314">
        <v>0</v>
      </c>
      <c r="Q61" s="425">
        <f>SUM(Q57:Q60)</f>
        <v>972.38</v>
      </c>
      <c r="R61" s="314"/>
      <c r="S61" s="416">
        <f>SUM(S57:S60)</f>
        <v>29.08</v>
      </c>
      <c r="T61" s="142"/>
      <c r="U61" s="392">
        <f>SUM(U57:U60)</f>
        <v>25.439999999999998</v>
      </c>
      <c r="V61" s="392">
        <f>SUM(V57:V60)</f>
        <v>0</v>
      </c>
      <c r="W61" s="392">
        <f>SUM(W57:W60)</f>
        <v>3.64</v>
      </c>
      <c r="X61" s="392">
        <f>SUM(X57:X60)</f>
        <v>0</v>
      </c>
      <c r="Y61" s="392">
        <f>SUM(Y57:Y60)</f>
        <v>0</v>
      </c>
      <c r="Z61" s="392">
        <f t="shared" ref="Z61:AA61" si="38">SUM(Z57:Z60)</f>
        <v>0</v>
      </c>
      <c r="AA61" s="392">
        <f t="shared" si="38"/>
        <v>0</v>
      </c>
      <c r="AB61" s="161">
        <f t="shared" si="1"/>
        <v>0</v>
      </c>
      <c r="AC61" s="392">
        <f>SUM(AC57:AC60)</f>
        <v>0</v>
      </c>
      <c r="AD61" s="392">
        <f>SUM(AD57:AD60)</f>
        <v>0</v>
      </c>
      <c r="AE61" s="392">
        <f t="shared" ref="AE61:AF61" si="39">SUM(AE57:AE60)</f>
        <v>0</v>
      </c>
      <c r="AF61" s="392">
        <f t="shared" si="39"/>
        <v>0</v>
      </c>
      <c r="AG61" s="161">
        <f t="shared" si="3"/>
        <v>0</v>
      </c>
      <c r="AH61" s="314"/>
      <c r="AI61" s="314"/>
      <c r="AJ61" s="314"/>
      <c r="AK61" s="321">
        <f t="shared" si="4"/>
        <v>0</v>
      </c>
      <c r="AL61" s="314"/>
      <c r="AM61" s="322"/>
      <c r="AN61" s="323"/>
    </row>
    <row r="62" spans="1:40" ht="19.899999999999999" customHeight="1">
      <c r="A62" s="375"/>
      <c r="B62" s="426" t="s">
        <v>458</v>
      </c>
      <c r="C62" s="375"/>
      <c r="D62" s="375"/>
      <c r="E62" s="375"/>
      <c r="F62" s="375"/>
      <c r="G62" s="375"/>
      <c r="H62" s="375"/>
      <c r="I62" s="375"/>
      <c r="J62" s="376"/>
      <c r="K62" s="176"/>
      <c r="L62" s="375"/>
      <c r="M62" s="427"/>
      <c r="N62" s="401"/>
      <c r="O62" s="401"/>
      <c r="P62" s="401"/>
      <c r="Q62" s="166">
        <f>Q61+Q55+Q50</f>
        <v>1894.6000000000001</v>
      </c>
      <c r="R62" s="401"/>
      <c r="S62" s="166">
        <f>S61+S55+S50</f>
        <v>204.38</v>
      </c>
      <c r="T62" s="178"/>
      <c r="U62" s="380">
        <f>U61+U55+U50</f>
        <v>183.19</v>
      </c>
      <c r="V62" s="380">
        <f>V61+V55+V50</f>
        <v>0</v>
      </c>
      <c r="W62" s="380">
        <f>W61+W55+W50</f>
        <v>21.19</v>
      </c>
      <c r="X62" s="380">
        <f t="shared" ref="X62:AA62" si="40">X61+X55+X50</f>
        <v>0</v>
      </c>
      <c r="Y62" s="380">
        <f t="shared" si="40"/>
        <v>0</v>
      </c>
      <c r="Z62" s="380">
        <f t="shared" si="40"/>
        <v>0</v>
      </c>
      <c r="AA62" s="380">
        <f t="shared" si="40"/>
        <v>0</v>
      </c>
      <c r="AB62" s="178">
        <f t="shared" si="1"/>
        <v>0</v>
      </c>
      <c r="AC62" s="380">
        <f t="shared" ref="AC62:AF62" si="41">AC61+AC55+AC50</f>
        <v>0</v>
      </c>
      <c r="AD62" s="380">
        <f t="shared" si="41"/>
        <v>0</v>
      </c>
      <c r="AE62" s="380">
        <f t="shared" si="41"/>
        <v>0</v>
      </c>
      <c r="AF62" s="380">
        <f t="shared" si="41"/>
        <v>0</v>
      </c>
      <c r="AG62" s="178">
        <f t="shared" si="3"/>
        <v>0</v>
      </c>
      <c r="AH62" s="178"/>
      <c r="AI62" s="428"/>
      <c r="AJ62" s="428"/>
      <c r="AK62" s="321">
        <f t="shared" si="4"/>
        <v>0</v>
      </c>
      <c r="AL62" s="428"/>
      <c r="AM62" s="306"/>
    </row>
    <row r="63" spans="1:40" ht="39" customHeight="1">
      <c r="A63" s="317" t="s">
        <v>459</v>
      </c>
      <c r="B63" s="169" t="s">
        <v>460</v>
      </c>
      <c r="C63" s="402" t="s">
        <v>461</v>
      </c>
      <c r="D63" s="402"/>
      <c r="E63" s="142"/>
      <c r="F63" s="142"/>
      <c r="G63" s="142"/>
      <c r="H63" s="142"/>
      <c r="I63" s="142"/>
      <c r="J63" s="138"/>
      <c r="K63" s="140"/>
      <c r="L63" s="302"/>
      <c r="M63" s="384"/>
      <c r="N63" s="303"/>
      <c r="O63" s="303"/>
      <c r="P63" s="303"/>
      <c r="Q63" s="155"/>
      <c r="R63" s="303"/>
      <c r="S63" s="310"/>
      <c r="T63" s="138"/>
      <c r="U63" s="195"/>
      <c r="V63" s="195"/>
      <c r="W63" s="195"/>
      <c r="X63" s="319"/>
      <c r="Y63" s="319"/>
      <c r="Z63" s="319"/>
      <c r="AA63" s="319"/>
      <c r="AB63" s="156"/>
      <c r="AC63" s="319"/>
      <c r="AD63" s="319"/>
      <c r="AE63" s="319"/>
      <c r="AF63" s="319"/>
      <c r="AG63" s="156"/>
      <c r="AH63" s="303"/>
      <c r="AI63" s="303"/>
      <c r="AJ63" s="303"/>
      <c r="AK63" s="321">
        <f t="shared" si="4"/>
        <v>0</v>
      </c>
      <c r="AL63" s="303"/>
      <c r="AM63" s="306"/>
    </row>
    <row r="64" spans="1:40" ht="21" customHeight="1">
      <c r="A64" s="302"/>
      <c r="B64" s="169" t="s">
        <v>397</v>
      </c>
      <c r="C64" s="302"/>
      <c r="D64" s="302"/>
      <c r="E64" s="142"/>
      <c r="F64" s="142"/>
      <c r="G64" s="142"/>
      <c r="H64" s="142"/>
      <c r="I64" s="142"/>
      <c r="J64" s="138"/>
      <c r="K64" s="140"/>
      <c r="L64" s="302"/>
      <c r="M64" s="384"/>
      <c r="N64" s="303"/>
      <c r="O64" s="303"/>
      <c r="P64" s="303"/>
      <c r="Q64" s="155"/>
      <c r="R64" s="303"/>
      <c r="S64" s="310"/>
      <c r="T64" s="138"/>
      <c r="U64" s="195"/>
      <c r="V64" s="195"/>
      <c r="W64" s="195"/>
      <c r="X64" s="319"/>
      <c r="Y64" s="319"/>
      <c r="Z64" s="319"/>
      <c r="AA64" s="319"/>
      <c r="AB64" s="156"/>
      <c r="AC64" s="319"/>
      <c r="AD64" s="319"/>
      <c r="AE64" s="319"/>
      <c r="AF64" s="319"/>
      <c r="AG64" s="156"/>
      <c r="AH64" s="303"/>
      <c r="AI64" s="303"/>
      <c r="AJ64" s="303"/>
      <c r="AK64" s="321">
        <f t="shared" si="4"/>
        <v>0</v>
      </c>
      <c r="AL64" s="303"/>
      <c r="AM64" s="306"/>
    </row>
    <row r="65" spans="1:40" s="324" customFormat="1" ht="19.899999999999999" customHeight="1">
      <c r="A65" s="429"/>
      <c r="B65" s="172" t="s">
        <v>462</v>
      </c>
      <c r="C65" s="430" t="s">
        <v>266</v>
      </c>
      <c r="D65" s="311"/>
      <c r="E65" s="142" t="s">
        <v>266</v>
      </c>
      <c r="F65" s="142" t="s">
        <v>98</v>
      </c>
      <c r="G65" s="142" t="s">
        <v>463</v>
      </c>
      <c r="H65" s="142" t="s">
        <v>464</v>
      </c>
      <c r="I65" s="142">
        <v>6</v>
      </c>
      <c r="J65" s="138">
        <v>0</v>
      </c>
      <c r="K65" s="140"/>
      <c r="L65" s="312"/>
      <c r="M65" s="313">
        <v>0</v>
      </c>
      <c r="N65" s="314">
        <v>0</v>
      </c>
      <c r="O65" s="314">
        <v>0</v>
      </c>
      <c r="P65" s="314">
        <v>0</v>
      </c>
      <c r="Q65" s="154">
        <v>192</v>
      </c>
      <c r="R65" s="314"/>
      <c r="S65" s="431">
        <v>25</v>
      </c>
      <c r="T65" s="142" t="s">
        <v>261</v>
      </c>
      <c r="U65" s="350">
        <f>S65-W65</f>
        <v>21.87</v>
      </c>
      <c r="V65" s="319">
        <v>0</v>
      </c>
      <c r="W65" s="195">
        <v>3.13</v>
      </c>
      <c r="X65" s="319">
        <v>0</v>
      </c>
      <c r="Y65" s="319">
        <v>0</v>
      </c>
      <c r="Z65" s="319">
        <v>0</v>
      </c>
      <c r="AA65" s="319">
        <f>SUM(X65:Z65)</f>
        <v>0</v>
      </c>
      <c r="AB65" s="156">
        <f t="shared" si="1"/>
        <v>0</v>
      </c>
      <c r="AC65" s="319">
        <v>0</v>
      </c>
      <c r="AD65" s="319">
        <v>0</v>
      </c>
      <c r="AE65" s="319">
        <v>0</v>
      </c>
      <c r="AF65" s="319">
        <f>SUM(AC65:AE65)</f>
        <v>0</v>
      </c>
      <c r="AG65" s="156">
        <f t="shared" si="3"/>
        <v>0</v>
      </c>
      <c r="AH65" s="314"/>
      <c r="AI65" s="314"/>
      <c r="AJ65" s="314"/>
      <c r="AK65" s="321">
        <f t="shared" si="4"/>
        <v>0</v>
      </c>
      <c r="AL65" s="314"/>
      <c r="AM65" s="322"/>
      <c r="AN65" s="323"/>
    </row>
    <row r="66" spans="1:40" s="324" customFormat="1" ht="25.5">
      <c r="A66" s="408"/>
      <c r="B66" s="172" t="s">
        <v>465</v>
      </c>
      <c r="C66" s="317" t="s">
        <v>466</v>
      </c>
      <c r="D66" s="432"/>
      <c r="E66" s="142" t="s">
        <v>466</v>
      </c>
      <c r="F66" s="142" t="s">
        <v>215</v>
      </c>
      <c r="G66" s="142" t="s">
        <v>467</v>
      </c>
      <c r="H66" s="142" t="s">
        <v>468</v>
      </c>
      <c r="I66" s="142">
        <v>1</v>
      </c>
      <c r="J66" s="138">
        <v>0</v>
      </c>
      <c r="K66" s="140">
        <v>1</v>
      </c>
      <c r="L66" s="312"/>
      <c r="M66" s="313">
        <v>0</v>
      </c>
      <c r="N66" s="314">
        <v>0</v>
      </c>
      <c r="O66" s="314">
        <v>0</v>
      </c>
      <c r="P66" s="314">
        <v>0</v>
      </c>
      <c r="Q66" s="154">
        <v>143.5</v>
      </c>
      <c r="R66" s="314"/>
      <c r="S66" s="431">
        <v>35.56</v>
      </c>
      <c r="T66" s="142" t="s">
        <v>261</v>
      </c>
      <c r="U66" s="319">
        <v>0</v>
      </c>
      <c r="V66" s="194">
        <v>31.11</v>
      </c>
      <c r="W66" s="195">
        <v>4.45</v>
      </c>
      <c r="X66" s="319">
        <v>0</v>
      </c>
      <c r="Y66" s="319">
        <v>90</v>
      </c>
      <c r="Z66" s="319">
        <v>0</v>
      </c>
      <c r="AA66" s="319">
        <f>SUM(X66:Z66)</f>
        <v>90</v>
      </c>
      <c r="AB66" s="156">
        <f>AA66*100/Q66</f>
        <v>62.717770034843205</v>
      </c>
      <c r="AC66" s="319">
        <v>0</v>
      </c>
      <c r="AD66" s="319">
        <v>90</v>
      </c>
      <c r="AE66" s="319">
        <v>0</v>
      </c>
      <c r="AF66" s="319">
        <f>SUM(AC66:AE66)</f>
        <v>90</v>
      </c>
      <c r="AG66" s="156">
        <f>AF66*100/Q66</f>
        <v>62.717770034843205</v>
      </c>
      <c r="AH66" s="314"/>
      <c r="AI66" s="314">
        <v>0</v>
      </c>
      <c r="AJ66" s="314">
        <v>0</v>
      </c>
      <c r="AK66" s="321">
        <f t="shared" si="4"/>
        <v>0</v>
      </c>
      <c r="AL66" s="314"/>
      <c r="AM66" s="322"/>
      <c r="AN66" s="323"/>
    </row>
    <row r="67" spans="1:40" s="324" customFormat="1" ht="19.899999999999999" customHeight="1">
      <c r="A67" s="408"/>
      <c r="B67" s="172" t="s">
        <v>469</v>
      </c>
      <c r="C67" s="317" t="s">
        <v>470</v>
      </c>
      <c r="D67" s="317"/>
      <c r="E67" s="142" t="s">
        <v>266</v>
      </c>
      <c r="F67" s="142" t="s">
        <v>126</v>
      </c>
      <c r="G67" s="142" t="s">
        <v>471</v>
      </c>
      <c r="H67" s="142" t="s">
        <v>472</v>
      </c>
      <c r="I67" s="138" t="s">
        <v>126</v>
      </c>
      <c r="J67" s="138">
        <v>0</v>
      </c>
      <c r="K67" s="140" t="s">
        <v>126</v>
      </c>
      <c r="L67" s="312"/>
      <c r="M67" s="313">
        <v>0</v>
      </c>
      <c r="N67" s="314">
        <v>0</v>
      </c>
      <c r="O67" s="314">
        <v>0</v>
      </c>
      <c r="P67" s="314">
        <v>0</v>
      </c>
      <c r="Q67" s="154">
        <v>144.13999999999999</v>
      </c>
      <c r="R67" s="314"/>
      <c r="S67" s="431">
        <v>20</v>
      </c>
      <c r="T67" s="142" t="s">
        <v>323</v>
      </c>
      <c r="U67" s="350">
        <f>S67-W67</f>
        <v>17.5</v>
      </c>
      <c r="V67" s="319">
        <v>0</v>
      </c>
      <c r="W67" s="198">
        <v>2.5</v>
      </c>
      <c r="X67" s="319">
        <v>0</v>
      </c>
      <c r="Y67" s="319">
        <v>0</v>
      </c>
      <c r="Z67" s="319">
        <v>0</v>
      </c>
      <c r="AA67" s="319">
        <f t="shared" ref="AA67:AA69" si="42">SUM(X67:Z67)</f>
        <v>0</v>
      </c>
      <c r="AB67" s="156">
        <f t="shared" si="1"/>
        <v>0</v>
      </c>
      <c r="AC67" s="319">
        <v>0</v>
      </c>
      <c r="AD67" s="319">
        <v>0</v>
      </c>
      <c r="AE67" s="319">
        <v>0</v>
      </c>
      <c r="AF67" s="319">
        <f t="shared" ref="AF67:AF75" si="43">SUM(AC67:AE67)</f>
        <v>0</v>
      </c>
      <c r="AG67" s="156">
        <f t="shared" si="3"/>
        <v>0</v>
      </c>
      <c r="AH67" s="314"/>
      <c r="AI67" s="314"/>
      <c r="AJ67" s="314"/>
      <c r="AK67" s="321">
        <f t="shared" si="4"/>
        <v>0</v>
      </c>
      <c r="AL67" s="314"/>
      <c r="AM67" s="322"/>
      <c r="AN67" s="323"/>
    </row>
    <row r="68" spans="1:40" ht="17.45" customHeight="1">
      <c r="A68" s="386"/>
      <c r="B68" s="172" t="s">
        <v>473</v>
      </c>
      <c r="C68" s="302"/>
      <c r="D68" s="302"/>
      <c r="E68" s="142" t="s">
        <v>266</v>
      </c>
      <c r="F68" s="142" t="s">
        <v>126</v>
      </c>
      <c r="G68" s="142" t="s">
        <v>474</v>
      </c>
      <c r="H68" s="142" t="s">
        <v>475</v>
      </c>
      <c r="I68" s="138" t="s">
        <v>126</v>
      </c>
      <c r="J68" s="138">
        <v>0</v>
      </c>
      <c r="K68" s="140" t="s">
        <v>126</v>
      </c>
      <c r="L68" s="326"/>
      <c r="M68" s="327">
        <v>0</v>
      </c>
      <c r="N68" s="303">
        <v>0</v>
      </c>
      <c r="O68" s="303">
        <v>0</v>
      </c>
      <c r="P68" s="303">
        <v>0</v>
      </c>
      <c r="Q68" s="154">
        <v>124.97</v>
      </c>
      <c r="R68" s="303"/>
      <c r="S68" s="398">
        <v>10</v>
      </c>
      <c r="T68" s="142" t="s">
        <v>323</v>
      </c>
      <c r="U68" s="350">
        <f>S68-W68</f>
        <v>8.75</v>
      </c>
      <c r="V68" s="319">
        <v>0</v>
      </c>
      <c r="W68" s="198">
        <v>1.25</v>
      </c>
      <c r="X68" s="319">
        <v>0</v>
      </c>
      <c r="Y68" s="319">
        <v>0</v>
      </c>
      <c r="Z68" s="319">
        <v>0</v>
      </c>
      <c r="AA68" s="319">
        <f t="shared" si="42"/>
        <v>0</v>
      </c>
      <c r="AB68" s="156">
        <f t="shared" si="1"/>
        <v>0</v>
      </c>
      <c r="AC68" s="319">
        <v>0</v>
      </c>
      <c r="AD68" s="319">
        <v>0</v>
      </c>
      <c r="AE68" s="319">
        <v>0</v>
      </c>
      <c r="AF68" s="319">
        <f t="shared" si="43"/>
        <v>0</v>
      </c>
      <c r="AG68" s="156">
        <f t="shared" si="3"/>
        <v>0</v>
      </c>
      <c r="AH68" s="303"/>
      <c r="AI68" s="303"/>
      <c r="AJ68" s="303"/>
      <c r="AK68" s="321">
        <f t="shared" si="4"/>
        <v>0</v>
      </c>
      <c r="AL68" s="303"/>
      <c r="AM68" s="306"/>
    </row>
    <row r="69" spans="1:40" s="324" customFormat="1" ht="16.149999999999999" customHeight="1">
      <c r="A69" s="408"/>
      <c r="B69" s="172" t="s">
        <v>476</v>
      </c>
      <c r="C69" s="317" t="s">
        <v>477</v>
      </c>
      <c r="D69" s="317"/>
      <c r="E69" s="142" t="s">
        <v>477</v>
      </c>
      <c r="F69" s="142" t="s">
        <v>126</v>
      </c>
      <c r="G69" s="142" t="s">
        <v>478</v>
      </c>
      <c r="H69" s="142" t="s">
        <v>479</v>
      </c>
      <c r="I69" s="138" t="s">
        <v>126</v>
      </c>
      <c r="J69" s="138">
        <v>0</v>
      </c>
      <c r="K69" s="140" t="s">
        <v>126</v>
      </c>
      <c r="L69" s="312"/>
      <c r="M69" s="313">
        <v>0</v>
      </c>
      <c r="N69" s="314">
        <v>0</v>
      </c>
      <c r="O69" s="314">
        <v>0</v>
      </c>
      <c r="P69" s="314">
        <v>0</v>
      </c>
      <c r="Q69" s="154">
        <v>244.03</v>
      </c>
      <c r="R69" s="314"/>
      <c r="S69" s="431">
        <v>30</v>
      </c>
      <c r="T69" s="142" t="s">
        <v>323</v>
      </c>
      <c r="U69" s="350">
        <f>S69-W69</f>
        <v>26.25</v>
      </c>
      <c r="V69" s="319">
        <v>0</v>
      </c>
      <c r="W69" s="198">
        <v>3.75</v>
      </c>
      <c r="X69" s="319">
        <v>0</v>
      </c>
      <c r="Y69" s="319">
        <v>0</v>
      </c>
      <c r="Z69" s="319">
        <v>0</v>
      </c>
      <c r="AA69" s="319">
        <f t="shared" si="42"/>
        <v>0</v>
      </c>
      <c r="AB69" s="156">
        <f t="shared" si="1"/>
        <v>0</v>
      </c>
      <c r="AC69" s="319">
        <v>0</v>
      </c>
      <c r="AD69" s="319">
        <v>0</v>
      </c>
      <c r="AE69" s="319">
        <v>0</v>
      </c>
      <c r="AF69" s="319">
        <f t="shared" si="43"/>
        <v>0</v>
      </c>
      <c r="AG69" s="156">
        <f t="shared" si="3"/>
        <v>0</v>
      </c>
      <c r="AH69" s="314"/>
      <c r="AI69" s="314"/>
      <c r="AJ69" s="314"/>
      <c r="AK69" s="321">
        <f t="shared" si="4"/>
        <v>0</v>
      </c>
      <c r="AL69" s="314"/>
      <c r="AM69" s="322"/>
      <c r="AN69" s="323"/>
    </row>
    <row r="70" spans="1:40" s="324" customFormat="1" ht="21.6" customHeight="1">
      <c r="A70" s="408"/>
      <c r="B70" s="169" t="s">
        <v>264</v>
      </c>
      <c r="C70" s="317"/>
      <c r="D70" s="317"/>
      <c r="E70" s="142"/>
      <c r="F70" s="142"/>
      <c r="G70" s="142"/>
      <c r="H70" s="142"/>
      <c r="I70" s="138"/>
      <c r="J70" s="138"/>
      <c r="K70" s="140"/>
      <c r="L70" s="312"/>
      <c r="M70" s="313">
        <v>0</v>
      </c>
      <c r="N70" s="314">
        <v>0</v>
      </c>
      <c r="O70" s="314">
        <v>0</v>
      </c>
      <c r="P70" s="314">
        <v>0</v>
      </c>
      <c r="Q70" s="168">
        <f>SUM(Q65:Q69)</f>
        <v>848.64</v>
      </c>
      <c r="R70" s="314"/>
      <c r="S70" s="416">
        <f>SUM(S65:S69)</f>
        <v>120.56</v>
      </c>
      <c r="T70" s="142"/>
      <c r="U70" s="392">
        <f t="shared" ref="U70:AA70" si="44">SUM(U65:U69)</f>
        <v>74.37</v>
      </c>
      <c r="V70" s="392">
        <f t="shared" si="44"/>
        <v>31.11</v>
      </c>
      <c r="W70" s="392">
        <f t="shared" si="44"/>
        <v>15.08</v>
      </c>
      <c r="X70" s="392">
        <f t="shared" si="44"/>
        <v>0</v>
      </c>
      <c r="Y70" s="392">
        <f t="shared" si="44"/>
        <v>90</v>
      </c>
      <c r="Z70" s="392">
        <f t="shared" si="44"/>
        <v>0</v>
      </c>
      <c r="AA70" s="392">
        <f t="shared" si="44"/>
        <v>90</v>
      </c>
      <c r="AB70" s="161">
        <f>AA70*100/Q70</f>
        <v>10.605203619909503</v>
      </c>
      <c r="AC70" s="392">
        <f t="shared" ref="AC70:AF70" si="45">SUM(AC65:AC69)</f>
        <v>0</v>
      </c>
      <c r="AD70" s="392">
        <f t="shared" ref="AD70" si="46">SUM(AD65:AD69)</f>
        <v>90</v>
      </c>
      <c r="AE70" s="392">
        <f t="shared" si="45"/>
        <v>0</v>
      </c>
      <c r="AF70" s="392">
        <f t="shared" si="45"/>
        <v>90</v>
      </c>
      <c r="AG70" s="161">
        <f t="shared" si="3"/>
        <v>10.605203619909503</v>
      </c>
      <c r="AH70" s="433"/>
      <c r="AI70" s="433">
        <f t="shared" ref="AI70:AM70" si="47">SUM(AI65:AI69)</f>
        <v>0</v>
      </c>
      <c r="AJ70" s="433">
        <f t="shared" si="47"/>
        <v>0</v>
      </c>
      <c r="AK70" s="433">
        <f t="shared" si="47"/>
        <v>0</v>
      </c>
      <c r="AL70" s="433">
        <f t="shared" si="47"/>
        <v>0</v>
      </c>
      <c r="AM70" s="433">
        <f t="shared" si="47"/>
        <v>0</v>
      </c>
      <c r="AN70" s="323"/>
    </row>
    <row r="71" spans="1:40" s="324" customFormat="1" ht="25.5">
      <c r="A71" s="408"/>
      <c r="B71" s="169" t="s">
        <v>386</v>
      </c>
      <c r="C71" s="317"/>
      <c r="D71" s="317"/>
      <c r="E71" s="142"/>
      <c r="F71" s="142"/>
      <c r="G71" s="142"/>
      <c r="H71" s="142"/>
      <c r="I71" s="138"/>
      <c r="J71" s="138"/>
      <c r="K71" s="140"/>
      <c r="L71" s="312"/>
      <c r="M71" s="313"/>
      <c r="N71" s="314"/>
      <c r="O71" s="314"/>
      <c r="P71" s="314"/>
      <c r="Q71" s="154"/>
      <c r="R71" s="314"/>
      <c r="S71" s="416"/>
      <c r="T71" s="142"/>
      <c r="U71" s="195"/>
      <c r="V71" s="194"/>
      <c r="W71" s="198"/>
      <c r="X71" s="319"/>
      <c r="Y71" s="319"/>
      <c r="Z71" s="319"/>
      <c r="AA71" s="319"/>
      <c r="AB71" s="156"/>
      <c r="AC71" s="319"/>
      <c r="AD71" s="319"/>
      <c r="AE71" s="319"/>
      <c r="AF71" s="319"/>
      <c r="AG71" s="156"/>
      <c r="AH71" s="314"/>
      <c r="AI71" s="314"/>
      <c r="AJ71" s="314"/>
      <c r="AK71" s="321"/>
      <c r="AL71" s="314"/>
      <c r="AM71" s="322"/>
      <c r="AN71" s="323"/>
    </row>
    <row r="72" spans="1:40" s="324" customFormat="1" ht="20.45" customHeight="1">
      <c r="A72" s="408"/>
      <c r="B72" s="172" t="s">
        <v>387</v>
      </c>
      <c r="C72" s="317"/>
      <c r="D72" s="317"/>
      <c r="E72" s="142"/>
      <c r="F72" s="142"/>
      <c r="G72" s="142"/>
      <c r="H72" s="142"/>
      <c r="I72" s="138"/>
      <c r="J72" s="138"/>
      <c r="K72" s="140"/>
      <c r="L72" s="312"/>
      <c r="M72" s="313">
        <v>0</v>
      </c>
      <c r="N72" s="314">
        <v>0</v>
      </c>
      <c r="O72" s="314">
        <v>0</v>
      </c>
      <c r="P72" s="314">
        <v>0</v>
      </c>
      <c r="Q72" s="154">
        <v>0</v>
      </c>
      <c r="R72" s="314"/>
      <c r="S72" s="416">
        <v>0</v>
      </c>
      <c r="T72" s="142"/>
      <c r="U72" s="319">
        <v>0</v>
      </c>
      <c r="V72" s="319">
        <v>0</v>
      </c>
      <c r="W72" s="319">
        <v>0</v>
      </c>
      <c r="X72" s="319">
        <v>0</v>
      </c>
      <c r="Y72" s="319">
        <v>0</v>
      </c>
      <c r="Z72" s="319">
        <v>0</v>
      </c>
      <c r="AA72" s="319">
        <f>SUM(X72:Z72)</f>
        <v>0</v>
      </c>
      <c r="AB72" s="156">
        <v>0</v>
      </c>
      <c r="AC72" s="319">
        <v>0</v>
      </c>
      <c r="AD72" s="319">
        <v>0</v>
      </c>
      <c r="AE72" s="319">
        <v>0</v>
      </c>
      <c r="AF72" s="319">
        <f>SUM(AC72:AE72)</f>
        <v>0</v>
      </c>
      <c r="AG72" s="156">
        <v>0</v>
      </c>
      <c r="AH72" s="314"/>
      <c r="AI72" s="314"/>
      <c r="AJ72" s="314"/>
      <c r="AK72" s="321">
        <f t="shared" si="4"/>
        <v>0</v>
      </c>
      <c r="AL72" s="314"/>
      <c r="AM72" s="322"/>
      <c r="AN72" s="323"/>
    </row>
    <row r="73" spans="1:40" s="324" customFormat="1" ht="21.6" customHeight="1">
      <c r="A73" s="408"/>
      <c r="B73" s="169" t="s">
        <v>388</v>
      </c>
      <c r="C73" s="317"/>
      <c r="D73" s="317"/>
      <c r="E73" s="142"/>
      <c r="F73" s="142"/>
      <c r="G73" s="142"/>
      <c r="H73" s="142"/>
      <c r="I73" s="138"/>
      <c r="J73" s="138"/>
      <c r="K73" s="140"/>
      <c r="L73" s="312"/>
      <c r="M73" s="313">
        <v>0</v>
      </c>
      <c r="N73" s="314">
        <v>0</v>
      </c>
      <c r="O73" s="314">
        <v>0</v>
      </c>
      <c r="P73" s="314">
        <v>0</v>
      </c>
      <c r="Q73" s="154">
        <v>0</v>
      </c>
      <c r="R73" s="314"/>
      <c r="S73" s="416">
        <v>0</v>
      </c>
      <c r="T73" s="317"/>
      <c r="U73" s="319">
        <v>0</v>
      </c>
      <c r="V73" s="319">
        <v>0</v>
      </c>
      <c r="W73" s="319">
        <v>0</v>
      </c>
      <c r="X73" s="319">
        <v>0</v>
      </c>
      <c r="Y73" s="319">
        <v>0</v>
      </c>
      <c r="Z73" s="319">
        <v>0</v>
      </c>
      <c r="AA73" s="319">
        <f>SUM(X73:Z73)</f>
        <v>0</v>
      </c>
      <c r="AB73" s="156">
        <v>0</v>
      </c>
      <c r="AC73" s="319">
        <v>0</v>
      </c>
      <c r="AD73" s="319">
        <v>0</v>
      </c>
      <c r="AE73" s="319">
        <v>0</v>
      </c>
      <c r="AF73" s="319">
        <f>SUM(AC73:AE73)</f>
        <v>0</v>
      </c>
      <c r="AG73" s="156">
        <v>0</v>
      </c>
      <c r="AH73" s="314"/>
      <c r="AI73" s="314"/>
      <c r="AJ73" s="314"/>
      <c r="AK73" s="321">
        <f t="shared" si="4"/>
        <v>0</v>
      </c>
      <c r="AL73" s="314"/>
      <c r="AM73" s="322"/>
      <c r="AN73" s="323"/>
    </row>
    <row r="74" spans="1:40" s="324" customFormat="1" ht="18" customHeight="1">
      <c r="A74" s="408"/>
      <c r="B74" s="172" t="s">
        <v>480</v>
      </c>
      <c r="C74" s="317"/>
      <c r="D74" s="317"/>
      <c r="E74" s="142"/>
      <c r="F74" s="142"/>
      <c r="G74" s="142"/>
      <c r="H74" s="142"/>
      <c r="I74" s="138"/>
      <c r="J74" s="138"/>
      <c r="K74" s="140"/>
      <c r="L74" s="312"/>
      <c r="M74" s="313"/>
      <c r="N74" s="314"/>
      <c r="O74" s="314"/>
      <c r="P74" s="314"/>
      <c r="Q74" s="154">
        <v>0</v>
      </c>
      <c r="R74" s="314"/>
      <c r="S74" s="416">
        <v>0</v>
      </c>
      <c r="T74" s="317"/>
      <c r="U74" s="319">
        <v>0</v>
      </c>
      <c r="V74" s="319">
        <v>0</v>
      </c>
      <c r="W74" s="319">
        <v>0</v>
      </c>
      <c r="X74" s="319">
        <v>0</v>
      </c>
      <c r="Y74" s="319">
        <v>0</v>
      </c>
      <c r="Z74" s="319">
        <v>0</v>
      </c>
      <c r="AA74" s="319">
        <f t="shared" ref="AA74:AA75" si="48">SUM(X74:Z74)</f>
        <v>0</v>
      </c>
      <c r="AB74" s="156">
        <v>0</v>
      </c>
      <c r="AC74" s="319">
        <v>0</v>
      </c>
      <c r="AD74" s="319">
        <v>0</v>
      </c>
      <c r="AE74" s="319">
        <v>0</v>
      </c>
      <c r="AF74" s="319">
        <f t="shared" si="43"/>
        <v>0</v>
      </c>
      <c r="AG74" s="156">
        <v>0</v>
      </c>
      <c r="AH74" s="314"/>
      <c r="AI74" s="314"/>
      <c r="AJ74" s="314"/>
      <c r="AK74" s="321">
        <f t="shared" si="4"/>
        <v>0</v>
      </c>
      <c r="AL74" s="314"/>
      <c r="AM74" s="322"/>
      <c r="AN74" s="323"/>
    </row>
    <row r="75" spans="1:40" s="324" customFormat="1" ht="19.149999999999999" customHeight="1">
      <c r="A75" s="408"/>
      <c r="B75" s="172" t="s">
        <v>387</v>
      </c>
      <c r="C75" s="317"/>
      <c r="D75" s="317"/>
      <c r="E75" s="142"/>
      <c r="F75" s="142"/>
      <c r="G75" s="142"/>
      <c r="H75" s="142"/>
      <c r="I75" s="138"/>
      <c r="J75" s="138"/>
      <c r="K75" s="140"/>
      <c r="L75" s="312"/>
      <c r="M75" s="313">
        <v>0</v>
      </c>
      <c r="N75" s="314">
        <v>0</v>
      </c>
      <c r="O75" s="314">
        <v>0</v>
      </c>
      <c r="P75" s="314">
        <v>0</v>
      </c>
      <c r="Q75" s="154">
        <v>0</v>
      </c>
      <c r="R75" s="314"/>
      <c r="S75" s="416">
        <v>0</v>
      </c>
      <c r="T75" s="317"/>
      <c r="U75" s="319">
        <v>0</v>
      </c>
      <c r="V75" s="319">
        <v>0</v>
      </c>
      <c r="W75" s="319">
        <v>0</v>
      </c>
      <c r="X75" s="319">
        <v>0</v>
      </c>
      <c r="Y75" s="319">
        <v>0</v>
      </c>
      <c r="Z75" s="319">
        <v>0</v>
      </c>
      <c r="AA75" s="319">
        <f t="shared" si="48"/>
        <v>0</v>
      </c>
      <c r="AB75" s="156">
        <v>0</v>
      </c>
      <c r="AC75" s="319">
        <v>0</v>
      </c>
      <c r="AD75" s="319">
        <v>0</v>
      </c>
      <c r="AE75" s="319">
        <v>0</v>
      </c>
      <c r="AF75" s="319">
        <f t="shared" si="43"/>
        <v>0</v>
      </c>
      <c r="AG75" s="156">
        <v>0</v>
      </c>
      <c r="AH75" s="314"/>
      <c r="AI75" s="314"/>
      <c r="AJ75" s="314"/>
      <c r="AK75" s="321">
        <f t="shared" si="4"/>
        <v>0</v>
      </c>
      <c r="AL75" s="314"/>
      <c r="AM75" s="322"/>
      <c r="AN75" s="323"/>
    </row>
    <row r="76" spans="1:40" s="324" customFormat="1" ht="21" customHeight="1">
      <c r="A76" s="415"/>
      <c r="B76" s="169" t="s">
        <v>457</v>
      </c>
      <c r="C76" s="383"/>
      <c r="D76" s="383"/>
      <c r="E76" s="131"/>
      <c r="F76" s="131"/>
      <c r="G76" s="131"/>
      <c r="H76" s="131"/>
      <c r="I76" s="132"/>
      <c r="J76" s="132"/>
      <c r="K76" s="140"/>
      <c r="L76" s="434"/>
      <c r="M76" s="313">
        <v>0</v>
      </c>
      <c r="N76" s="314">
        <v>0</v>
      </c>
      <c r="O76" s="314">
        <v>0</v>
      </c>
      <c r="P76" s="314">
        <v>0</v>
      </c>
      <c r="Q76" s="168">
        <v>0</v>
      </c>
      <c r="R76" s="435"/>
      <c r="S76" s="379">
        <v>0</v>
      </c>
      <c r="T76" s="383"/>
      <c r="U76" s="392">
        <v>0</v>
      </c>
      <c r="V76" s="392">
        <v>0</v>
      </c>
      <c r="W76" s="392">
        <v>0</v>
      </c>
      <c r="X76" s="392">
        <v>0</v>
      </c>
      <c r="Y76" s="392">
        <v>0</v>
      </c>
      <c r="Z76" s="392">
        <v>0</v>
      </c>
      <c r="AA76" s="392">
        <f>SUM(X76:Z76)</f>
        <v>0</v>
      </c>
      <c r="AB76" s="161">
        <v>0</v>
      </c>
      <c r="AC76" s="392">
        <v>0</v>
      </c>
      <c r="AD76" s="392">
        <v>0</v>
      </c>
      <c r="AE76" s="392">
        <v>0</v>
      </c>
      <c r="AF76" s="392">
        <f>SUM(AC76:AE76)</f>
        <v>0</v>
      </c>
      <c r="AG76" s="161">
        <v>0</v>
      </c>
      <c r="AH76" s="435"/>
      <c r="AI76" s="314"/>
      <c r="AJ76" s="314"/>
      <c r="AK76" s="321">
        <f t="shared" si="4"/>
        <v>0</v>
      </c>
      <c r="AL76" s="314"/>
      <c r="AM76" s="322"/>
      <c r="AN76" s="323"/>
    </row>
    <row r="77" spans="1:40" s="447" customFormat="1" ht="21" customHeight="1">
      <c r="A77" s="436"/>
      <c r="B77" s="175" t="s">
        <v>481</v>
      </c>
      <c r="C77" s="436"/>
      <c r="D77" s="436"/>
      <c r="E77" s="436"/>
      <c r="F77" s="436"/>
      <c r="G77" s="436"/>
      <c r="H77" s="436"/>
      <c r="I77" s="437"/>
      <c r="J77" s="437"/>
      <c r="K77" s="176"/>
      <c r="L77" s="438"/>
      <c r="M77" s="431">
        <v>0</v>
      </c>
      <c r="N77" s="439">
        <v>0</v>
      </c>
      <c r="O77" s="439">
        <v>0</v>
      </c>
      <c r="P77" s="439">
        <v>0</v>
      </c>
      <c r="Q77" s="274">
        <f>Q70+Q73+Q76</f>
        <v>848.64</v>
      </c>
      <c r="R77" s="437"/>
      <c r="S77" s="379"/>
      <c r="T77" s="436"/>
      <c r="U77" s="272"/>
      <c r="V77" s="271"/>
      <c r="W77" s="440"/>
      <c r="X77" s="441"/>
      <c r="Y77" s="442"/>
      <c r="Z77" s="441"/>
      <c r="AA77" s="441"/>
      <c r="AB77" s="443"/>
      <c r="AC77" s="441"/>
      <c r="AD77" s="441"/>
      <c r="AE77" s="441"/>
      <c r="AF77" s="441"/>
      <c r="AG77" s="443"/>
      <c r="AH77" s="437"/>
      <c r="AI77" s="444"/>
      <c r="AJ77" s="444"/>
      <c r="AK77" s="321">
        <f t="shared" si="4"/>
        <v>0</v>
      </c>
      <c r="AL77" s="444"/>
      <c r="AM77" s="445"/>
      <c r="AN77" s="446"/>
    </row>
    <row r="78" spans="1:40" s="454" customFormat="1" ht="20.65" customHeight="1">
      <c r="A78" s="646" t="s">
        <v>482</v>
      </c>
      <c r="B78" s="646"/>
      <c r="C78" s="646"/>
      <c r="D78" s="646"/>
      <c r="E78" s="646"/>
      <c r="F78" s="646"/>
      <c r="G78" s="646"/>
      <c r="H78" s="646"/>
      <c r="I78" s="646"/>
      <c r="J78" s="646"/>
      <c r="K78" s="646"/>
      <c r="L78" s="646"/>
      <c r="M78" s="646"/>
      <c r="N78" s="646"/>
      <c r="O78" s="448"/>
      <c r="P78" s="448"/>
      <c r="Q78" s="449">
        <f>Q77+Q62+Q40+Q27</f>
        <v>8276.24</v>
      </c>
      <c r="R78" s="450"/>
      <c r="S78" s="277">
        <f>S77+S73+S70+S62+S40+S27</f>
        <v>1679.13</v>
      </c>
      <c r="T78" s="450"/>
      <c r="U78" s="442">
        <f t="shared" ref="U78:AA78" si="49">U77+U73+U70+U62+U40+U27</f>
        <v>1442.1100000000001</v>
      </c>
      <c r="V78" s="442">
        <f t="shared" si="49"/>
        <v>31.11</v>
      </c>
      <c r="W78" s="442">
        <f t="shared" si="49"/>
        <v>205.91000000000003</v>
      </c>
      <c r="X78" s="442">
        <f t="shared" si="49"/>
        <v>0</v>
      </c>
      <c r="Y78" s="442">
        <f t="shared" si="49"/>
        <v>90</v>
      </c>
      <c r="Z78" s="442">
        <f t="shared" si="49"/>
        <v>0</v>
      </c>
      <c r="AA78" s="442">
        <f t="shared" si="49"/>
        <v>90</v>
      </c>
      <c r="AB78" s="279">
        <f t="shared" ref="AB78:AB141" si="50">AA78*100/Q78</f>
        <v>1.0874503397678172</v>
      </c>
      <c r="AC78" s="442">
        <f t="shared" ref="AC78:AF78" si="51">AC77+AC73+AC70+AC62+AC40+AC27</f>
        <v>0</v>
      </c>
      <c r="AD78" s="442">
        <f t="shared" si="51"/>
        <v>90</v>
      </c>
      <c r="AE78" s="442">
        <f t="shared" si="51"/>
        <v>0</v>
      </c>
      <c r="AF78" s="442">
        <f t="shared" si="51"/>
        <v>90</v>
      </c>
      <c r="AG78" s="279">
        <f>AF78*100/Q78</f>
        <v>1.0874503397678172</v>
      </c>
      <c r="AH78" s="451"/>
      <c r="AI78" s="452">
        <f t="shared" ref="AI78:AM78" si="52">AI77+AI73+AI70+AI62+AI40+AI27</f>
        <v>0</v>
      </c>
      <c r="AJ78" s="452">
        <f t="shared" si="52"/>
        <v>0</v>
      </c>
      <c r="AK78" s="452">
        <f t="shared" si="52"/>
        <v>0</v>
      </c>
      <c r="AL78" s="452">
        <f t="shared" si="52"/>
        <v>0</v>
      </c>
      <c r="AM78" s="452">
        <f t="shared" si="52"/>
        <v>0</v>
      </c>
      <c r="AN78" s="453"/>
    </row>
    <row r="79" spans="1:40" hidden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205"/>
      <c r="L79" s="73"/>
      <c r="M79" s="73"/>
      <c r="N79" s="73"/>
      <c r="O79" s="73"/>
      <c r="P79" s="73"/>
      <c r="Q79" s="150"/>
      <c r="R79" s="73"/>
      <c r="S79" s="205"/>
      <c r="T79" s="73"/>
      <c r="U79" s="76"/>
      <c r="V79" s="73"/>
      <c r="W79" s="76"/>
      <c r="X79" s="321">
        <f t="shared" ref="X79:X142" si="53">AC79+AI79</f>
        <v>0</v>
      </c>
      <c r="Y79" s="321"/>
      <c r="Z79" s="321">
        <f t="shared" ref="Z79:Z142" si="54">AE79+AJ79</f>
        <v>0</v>
      </c>
      <c r="AA79" s="321">
        <f t="shared" ref="AA79:AA141" si="55">SUM(X79:Z79)</f>
        <v>0</v>
      </c>
      <c r="AB79" s="321" t="e">
        <f t="shared" si="50"/>
        <v>#DIV/0!</v>
      </c>
      <c r="AC79" s="73"/>
      <c r="AD79" s="73"/>
      <c r="AE79" s="73"/>
      <c r="AF79" s="314">
        <f t="shared" ref="AF79:AF142" si="56">AE79+AC79</f>
        <v>0</v>
      </c>
      <c r="AG79" s="73"/>
      <c r="AH79" s="73"/>
      <c r="AI79" s="73"/>
      <c r="AJ79" s="73"/>
      <c r="AK79" s="321">
        <f t="shared" ref="AK79:AK142" si="57">AJ79+AI79</f>
        <v>0</v>
      </c>
      <c r="AL79" s="73"/>
      <c r="AM79" s="291"/>
    </row>
    <row r="80" spans="1:40" hidden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205"/>
      <c r="L80" s="73"/>
      <c r="M80" s="73"/>
      <c r="N80" s="73"/>
      <c r="O80" s="73"/>
      <c r="P80" s="73"/>
      <c r="Q80" s="455"/>
      <c r="R80" s="73"/>
      <c r="S80" s="205"/>
      <c r="T80" s="73"/>
      <c r="U80" s="76"/>
      <c r="V80" s="76"/>
      <c r="W80" s="76"/>
      <c r="X80" s="321">
        <f t="shared" si="53"/>
        <v>0</v>
      </c>
      <c r="Y80" s="321"/>
      <c r="Z80" s="321">
        <f t="shared" si="54"/>
        <v>0</v>
      </c>
      <c r="AA80" s="321">
        <f t="shared" si="55"/>
        <v>0</v>
      </c>
      <c r="AB80" s="321" t="e">
        <f t="shared" si="50"/>
        <v>#DIV/0!</v>
      </c>
      <c r="AC80" s="73"/>
      <c r="AD80" s="73"/>
      <c r="AE80" s="73"/>
      <c r="AF80" s="314">
        <f t="shared" si="56"/>
        <v>0</v>
      </c>
      <c r="AG80" s="73"/>
      <c r="AH80" s="73"/>
      <c r="AI80" s="73"/>
      <c r="AJ80" s="73"/>
      <c r="AK80" s="321">
        <f t="shared" si="57"/>
        <v>0</v>
      </c>
      <c r="AL80" s="73"/>
      <c r="AM80" s="291"/>
    </row>
    <row r="81" spans="1:39" hidden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205"/>
      <c r="L81" s="73"/>
      <c r="M81" s="73"/>
      <c r="N81" s="73"/>
      <c r="O81" s="73"/>
      <c r="P81" s="73"/>
      <c r="Q81" s="456"/>
      <c r="R81" s="456"/>
      <c r="S81" s="457"/>
      <c r="T81" s="73"/>
      <c r="U81" s="76"/>
      <c r="V81" s="73"/>
      <c r="W81" s="76"/>
      <c r="X81" s="321">
        <f t="shared" si="53"/>
        <v>0</v>
      </c>
      <c r="Y81" s="321"/>
      <c r="Z81" s="321">
        <f t="shared" si="54"/>
        <v>0</v>
      </c>
      <c r="AA81" s="321">
        <f t="shared" si="55"/>
        <v>0</v>
      </c>
      <c r="AB81" s="321" t="e">
        <f t="shared" si="50"/>
        <v>#DIV/0!</v>
      </c>
      <c r="AC81" s="73"/>
      <c r="AD81" s="73"/>
      <c r="AE81" s="73"/>
      <c r="AF81" s="314">
        <f t="shared" si="56"/>
        <v>0</v>
      </c>
      <c r="AG81" s="73"/>
      <c r="AH81" s="73"/>
      <c r="AI81" s="73"/>
      <c r="AJ81" s="73"/>
      <c r="AK81" s="321">
        <f t="shared" si="57"/>
        <v>0</v>
      </c>
      <c r="AL81" s="73"/>
      <c r="AM81" s="291"/>
    </row>
    <row r="82" spans="1:39" hidden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205"/>
      <c r="L82" s="73"/>
      <c r="M82" s="73"/>
      <c r="N82" s="73"/>
      <c r="O82" s="73"/>
      <c r="P82" s="73"/>
      <c r="Q82" s="458"/>
      <c r="R82" s="73"/>
      <c r="S82" s="205"/>
      <c r="T82" s="73"/>
      <c r="U82" s="76"/>
      <c r="V82" s="73"/>
      <c r="W82" s="76"/>
      <c r="X82" s="321">
        <f t="shared" si="53"/>
        <v>0</v>
      </c>
      <c r="Y82" s="321"/>
      <c r="Z82" s="321">
        <f t="shared" si="54"/>
        <v>0</v>
      </c>
      <c r="AA82" s="321">
        <f t="shared" si="55"/>
        <v>0</v>
      </c>
      <c r="AB82" s="321" t="e">
        <f t="shared" si="50"/>
        <v>#DIV/0!</v>
      </c>
      <c r="AC82" s="73"/>
      <c r="AD82" s="73"/>
      <c r="AE82" s="73"/>
      <c r="AF82" s="314">
        <f t="shared" si="56"/>
        <v>0</v>
      </c>
      <c r="AG82" s="73"/>
      <c r="AH82" s="73"/>
      <c r="AI82" s="73"/>
      <c r="AJ82" s="73"/>
      <c r="AK82" s="321">
        <f t="shared" si="57"/>
        <v>0</v>
      </c>
      <c r="AL82" s="73"/>
      <c r="AM82" s="291"/>
    </row>
    <row r="83" spans="1:39" hidden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205"/>
      <c r="L83" s="73"/>
      <c r="M83" s="73"/>
      <c r="N83" s="73"/>
      <c r="O83" s="73"/>
      <c r="P83" s="73"/>
      <c r="Q83" s="150">
        <v>55030.121475749998</v>
      </c>
      <c r="R83" s="73"/>
      <c r="S83" s="205"/>
      <c r="T83" s="73"/>
      <c r="U83" s="76">
        <v>10231.246299200002</v>
      </c>
      <c r="V83" s="73">
        <v>172.01000000000002</v>
      </c>
      <c r="W83" s="76">
        <v>1559.9912807999999</v>
      </c>
      <c r="X83" s="321">
        <f t="shared" si="53"/>
        <v>0</v>
      </c>
      <c r="Y83" s="321"/>
      <c r="Z83" s="321">
        <f t="shared" si="54"/>
        <v>0</v>
      </c>
      <c r="AA83" s="321">
        <f t="shared" si="55"/>
        <v>0</v>
      </c>
      <c r="AB83" s="321">
        <f t="shared" si="50"/>
        <v>0</v>
      </c>
      <c r="AC83" s="73"/>
      <c r="AD83" s="73"/>
      <c r="AE83" s="73"/>
      <c r="AF83" s="314">
        <f t="shared" si="56"/>
        <v>0</v>
      </c>
      <c r="AG83" s="73"/>
      <c r="AH83" s="73"/>
      <c r="AI83" s="73"/>
      <c r="AJ83" s="73"/>
      <c r="AK83" s="321">
        <f t="shared" si="57"/>
        <v>0</v>
      </c>
      <c r="AL83" s="73"/>
      <c r="AM83" s="291"/>
    </row>
    <row r="84" spans="1:39" hidden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205"/>
      <c r="L84" s="73"/>
      <c r="M84" s="73"/>
      <c r="N84" s="73"/>
      <c r="O84" s="73"/>
      <c r="P84" s="73"/>
      <c r="Q84" s="458"/>
      <c r="R84" s="73"/>
      <c r="S84" s="205"/>
      <c r="T84" s="73"/>
      <c r="U84" s="76"/>
      <c r="V84" s="73"/>
      <c r="W84" s="76"/>
      <c r="X84" s="321">
        <f t="shared" si="53"/>
        <v>0</v>
      </c>
      <c r="Y84" s="321"/>
      <c r="Z84" s="321">
        <f t="shared" si="54"/>
        <v>0</v>
      </c>
      <c r="AA84" s="321">
        <f t="shared" si="55"/>
        <v>0</v>
      </c>
      <c r="AB84" s="321" t="e">
        <f t="shared" si="50"/>
        <v>#DIV/0!</v>
      </c>
      <c r="AC84" s="73"/>
      <c r="AD84" s="73"/>
      <c r="AE84" s="73"/>
      <c r="AF84" s="314">
        <f t="shared" si="56"/>
        <v>0</v>
      </c>
      <c r="AG84" s="73"/>
      <c r="AH84" s="73"/>
      <c r="AI84" s="73"/>
      <c r="AJ84" s="73"/>
      <c r="AK84" s="321">
        <f t="shared" si="57"/>
        <v>0</v>
      </c>
      <c r="AL84" s="73"/>
      <c r="AM84" s="291"/>
    </row>
    <row r="85" spans="1:39" hidden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205"/>
      <c r="L85" s="73"/>
      <c r="M85" s="73"/>
      <c r="N85" s="73"/>
      <c r="O85" s="73"/>
      <c r="P85" s="73"/>
      <c r="Q85" s="458">
        <f>Q83+Q78</f>
        <v>63306.361475749996</v>
      </c>
      <c r="R85" s="73"/>
      <c r="S85" s="205"/>
      <c r="T85" s="73"/>
      <c r="U85" s="458">
        <f>U83+U78</f>
        <v>11673.356299200002</v>
      </c>
      <c r="V85" s="458">
        <f t="shared" ref="V85:W85" si="58">V83+V78</f>
        <v>203.12</v>
      </c>
      <c r="W85" s="458">
        <f t="shared" si="58"/>
        <v>1765.9012808</v>
      </c>
      <c r="X85" s="321">
        <f t="shared" si="53"/>
        <v>0</v>
      </c>
      <c r="Y85" s="321"/>
      <c r="Z85" s="321">
        <f t="shared" si="54"/>
        <v>0</v>
      </c>
      <c r="AA85" s="321">
        <f t="shared" si="55"/>
        <v>0</v>
      </c>
      <c r="AB85" s="321">
        <f t="shared" si="50"/>
        <v>0</v>
      </c>
      <c r="AC85" s="73"/>
      <c r="AD85" s="73"/>
      <c r="AE85" s="73"/>
      <c r="AF85" s="314">
        <f t="shared" si="56"/>
        <v>0</v>
      </c>
      <c r="AG85" s="73"/>
      <c r="AH85" s="73"/>
      <c r="AI85" s="73"/>
      <c r="AJ85" s="73"/>
      <c r="AK85" s="321">
        <f t="shared" si="57"/>
        <v>0</v>
      </c>
      <c r="AL85" s="73"/>
      <c r="AM85" s="291"/>
    </row>
    <row r="86" spans="1:39" hidden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205"/>
      <c r="L86" s="73"/>
      <c r="M86" s="73"/>
      <c r="N86" s="73"/>
      <c r="O86" s="73"/>
      <c r="P86" s="73"/>
      <c r="Q86" s="458">
        <v>4870.75</v>
      </c>
      <c r="R86" s="73"/>
      <c r="S86" s="205"/>
      <c r="T86" s="73"/>
      <c r="U86" s="76"/>
      <c r="V86" s="73"/>
      <c r="W86" s="76"/>
      <c r="X86" s="321">
        <f t="shared" si="53"/>
        <v>0</v>
      </c>
      <c r="Y86" s="321"/>
      <c r="Z86" s="321">
        <f t="shared" si="54"/>
        <v>0</v>
      </c>
      <c r="AA86" s="321">
        <f t="shared" si="55"/>
        <v>0</v>
      </c>
      <c r="AB86" s="321">
        <f t="shared" si="50"/>
        <v>0</v>
      </c>
      <c r="AC86" s="73"/>
      <c r="AD86" s="73"/>
      <c r="AE86" s="73"/>
      <c r="AF86" s="314">
        <f t="shared" si="56"/>
        <v>0</v>
      </c>
      <c r="AG86" s="73"/>
      <c r="AH86" s="73"/>
      <c r="AI86" s="73"/>
      <c r="AJ86" s="73"/>
      <c r="AK86" s="321">
        <f t="shared" si="57"/>
        <v>0</v>
      </c>
      <c r="AL86" s="73"/>
      <c r="AM86" s="291"/>
    </row>
    <row r="87" spans="1:39" hidden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205"/>
      <c r="L87" s="73"/>
      <c r="M87" s="73"/>
      <c r="N87" s="73"/>
      <c r="O87" s="73"/>
      <c r="P87" s="73"/>
      <c r="Q87" s="458">
        <f>Q85+Q86</f>
        <v>68177.111475749989</v>
      </c>
      <c r="R87" s="73"/>
      <c r="S87" s="205"/>
      <c r="T87" s="73"/>
      <c r="U87" s="76"/>
      <c r="V87" s="73"/>
      <c r="W87" s="76"/>
      <c r="X87" s="321">
        <f t="shared" si="53"/>
        <v>0</v>
      </c>
      <c r="Y87" s="321"/>
      <c r="Z87" s="321">
        <f t="shared" si="54"/>
        <v>0</v>
      </c>
      <c r="AA87" s="321">
        <f t="shared" si="55"/>
        <v>0</v>
      </c>
      <c r="AB87" s="321">
        <f t="shared" si="50"/>
        <v>0</v>
      </c>
      <c r="AC87" s="73"/>
      <c r="AD87" s="73"/>
      <c r="AE87" s="73"/>
      <c r="AF87" s="314">
        <f t="shared" si="56"/>
        <v>0</v>
      </c>
      <c r="AG87" s="73"/>
      <c r="AH87" s="73"/>
      <c r="AI87" s="73"/>
      <c r="AJ87" s="73"/>
      <c r="AK87" s="321">
        <f t="shared" si="57"/>
        <v>0</v>
      </c>
      <c r="AL87" s="73"/>
      <c r="AM87" s="291"/>
    </row>
    <row r="88" spans="1:39" hidden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205"/>
      <c r="L88" s="73"/>
      <c r="M88" s="73"/>
      <c r="N88" s="73"/>
      <c r="O88" s="73"/>
      <c r="P88" s="73"/>
      <c r="Q88" s="459">
        <v>7576.5</v>
      </c>
      <c r="R88" s="73"/>
      <c r="S88" s="205"/>
      <c r="T88" s="73"/>
      <c r="U88" s="76"/>
      <c r="V88" s="73"/>
      <c r="W88" s="76"/>
      <c r="X88" s="321">
        <f t="shared" si="53"/>
        <v>0</v>
      </c>
      <c r="Y88" s="321"/>
      <c r="Z88" s="321">
        <f t="shared" si="54"/>
        <v>0</v>
      </c>
      <c r="AA88" s="321">
        <f t="shared" si="55"/>
        <v>0</v>
      </c>
      <c r="AB88" s="321">
        <f t="shared" si="50"/>
        <v>0</v>
      </c>
      <c r="AC88" s="73"/>
      <c r="AD88" s="73"/>
      <c r="AE88" s="73"/>
      <c r="AF88" s="314">
        <f t="shared" si="56"/>
        <v>0</v>
      </c>
      <c r="AG88" s="73"/>
      <c r="AH88" s="73"/>
      <c r="AI88" s="73"/>
      <c r="AJ88" s="73"/>
      <c r="AK88" s="321">
        <f t="shared" si="57"/>
        <v>0</v>
      </c>
      <c r="AL88" s="73"/>
      <c r="AM88" s="291"/>
    </row>
    <row r="89" spans="1:39" hidden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205"/>
      <c r="L89" s="73"/>
      <c r="M89" s="73"/>
      <c r="N89" s="73"/>
      <c r="O89" s="73"/>
      <c r="P89" s="73"/>
      <c r="Q89" s="458">
        <f>Q87+Q88</f>
        <v>75753.611475749989</v>
      </c>
      <c r="R89" s="73"/>
      <c r="S89" s="205"/>
      <c r="T89" s="73"/>
      <c r="U89" s="76"/>
      <c r="V89" s="73"/>
      <c r="W89" s="76"/>
      <c r="X89" s="321">
        <f t="shared" si="53"/>
        <v>0</v>
      </c>
      <c r="Y89" s="321"/>
      <c r="Z89" s="321">
        <f t="shared" si="54"/>
        <v>0</v>
      </c>
      <c r="AA89" s="321">
        <f t="shared" si="55"/>
        <v>0</v>
      </c>
      <c r="AB89" s="321">
        <f t="shared" si="50"/>
        <v>0</v>
      </c>
      <c r="AC89" s="73"/>
      <c r="AD89" s="73"/>
      <c r="AE89" s="73"/>
      <c r="AF89" s="314">
        <f t="shared" si="56"/>
        <v>0</v>
      </c>
      <c r="AG89" s="73"/>
      <c r="AH89" s="73"/>
      <c r="AI89" s="73"/>
      <c r="AJ89" s="73"/>
      <c r="AK89" s="321">
        <f t="shared" si="57"/>
        <v>0</v>
      </c>
      <c r="AL89" s="73"/>
      <c r="AM89" s="291"/>
    </row>
    <row r="90" spans="1:39" hidden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205"/>
      <c r="L90" s="73"/>
      <c r="M90" s="73"/>
      <c r="N90" s="73"/>
      <c r="O90" s="73"/>
      <c r="P90" s="73"/>
      <c r="Q90" s="150"/>
      <c r="R90" s="73"/>
      <c r="S90" s="205"/>
      <c r="T90" s="73"/>
      <c r="U90" s="76"/>
      <c r="V90" s="73"/>
      <c r="W90" s="76"/>
      <c r="X90" s="321">
        <f t="shared" si="53"/>
        <v>0</v>
      </c>
      <c r="Y90" s="321"/>
      <c r="Z90" s="321">
        <f t="shared" si="54"/>
        <v>0</v>
      </c>
      <c r="AA90" s="321">
        <f t="shared" si="55"/>
        <v>0</v>
      </c>
      <c r="AB90" s="321" t="e">
        <f t="shared" si="50"/>
        <v>#DIV/0!</v>
      </c>
      <c r="AC90" s="73"/>
      <c r="AD90" s="73"/>
      <c r="AE90" s="73"/>
      <c r="AF90" s="314">
        <f t="shared" si="56"/>
        <v>0</v>
      </c>
      <c r="AG90" s="73"/>
      <c r="AH90" s="73"/>
      <c r="AI90" s="73"/>
      <c r="AJ90" s="73"/>
      <c r="AK90" s="321">
        <f t="shared" si="57"/>
        <v>0</v>
      </c>
      <c r="AL90" s="73"/>
      <c r="AM90" s="291"/>
    </row>
    <row r="91" spans="1:39" hidden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205"/>
      <c r="L91" s="73"/>
      <c r="M91" s="73"/>
      <c r="N91" s="73"/>
      <c r="O91" s="73"/>
      <c r="P91" s="73"/>
      <c r="Q91" s="150"/>
      <c r="R91" s="73"/>
      <c r="S91" s="205"/>
      <c r="T91" s="73"/>
      <c r="U91" s="73">
        <v>431.04</v>
      </c>
      <c r="V91" s="73"/>
      <c r="W91" s="73">
        <v>306.01</v>
      </c>
      <c r="X91" s="321">
        <f t="shared" si="53"/>
        <v>0</v>
      </c>
      <c r="Y91" s="321"/>
      <c r="Z91" s="321">
        <f t="shared" si="54"/>
        <v>0</v>
      </c>
      <c r="AA91" s="321">
        <f t="shared" si="55"/>
        <v>0</v>
      </c>
      <c r="AB91" s="321" t="e">
        <f t="shared" si="50"/>
        <v>#DIV/0!</v>
      </c>
      <c r="AC91" s="73"/>
      <c r="AD91" s="73"/>
      <c r="AE91" s="73"/>
      <c r="AF91" s="314">
        <f t="shared" si="56"/>
        <v>0</v>
      </c>
      <c r="AG91" s="73"/>
      <c r="AH91" s="73"/>
      <c r="AI91" s="73"/>
      <c r="AJ91" s="73"/>
      <c r="AK91" s="321">
        <f t="shared" si="57"/>
        <v>0</v>
      </c>
      <c r="AL91" s="73"/>
      <c r="AM91" s="291"/>
    </row>
    <row r="92" spans="1:39" hidden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205"/>
      <c r="L92" s="73"/>
      <c r="M92" s="73"/>
      <c r="N92" s="73"/>
      <c r="O92" s="73"/>
      <c r="P92" s="73"/>
      <c r="Q92" s="150"/>
      <c r="R92" s="73"/>
      <c r="S92" s="205"/>
      <c r="T92" s="73"/>
      <c r="U92" s="76"/>
      <c r="V92" s="73"/>
      <c r="W92" s="76"/>
      <c r="X92" s="321">
        <f t="shared" si="53"/>
        <v>0</v>
      </c>
      <c r="Y92" s="321"/>
      <c r="Z92" s="321">
        <f t="shared" si="54"/>
        <v>0</v>
      </c>
      <c r="AA92" s="321">
        <f t="shared" si="55"/>
        <v>0</v>
      </c>
      <c r="AB92" s="321" t="e">
        <f t="shared" si="50"/>
        <v>#DIV/0!</v>
      </c>
      <c r="AC92" s="73"/>
      <c r="AD92" s="73"/>
      <c r="AE92" s="73"/>
      <c r="AF92" s="314">
        <f t="shared" si="56"/>
        <v>0</v>
      </c>
      <c r="AG92" s="73"/>
      <c r="AH92" s="73"/>
      <c r="AI92" s="73"/>
      <c r="AJ92" s="73"/>
      <c r="AK92" s="321">
        <f t="shared" si="57"/>
        <v>0</v>
      </c>
      <c r="AL92" s="73"/>
      <c r="AM92" s="291"/>
    </row>
    <row r="93" spans="1:39" hidden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205"/>
      <c r="L93" s="73"/>
      <c r="M93" s="73"/>
      <c r="N93" s="73"/>
      <c r="O93" s="73"/>
      <c r="P93" s="73"/>
      <c r="Q93" s="150"/>
      <c r="R93" s="73"/>
      <c r="S93" s="205"/>
      <c r="T93" s="73"/>
      <c r="U93" s="73">
        <v>10600.632999200001</v>
      </c>
      <c r="V93" s="76">
        <v>106.99995309375001</v>
      </c>
      <c r="W93" s="73">
        <v>1317.2916808</v>
      </c>
      <c r="X93" s="321">
        <f t="shared" si="53"/>
        <v>0</v>
      </c>
      <c r="Y93" s="321"/>
      <c r="Z93" s="321">
        <f t="shared" si="54"/>
        <v>0</v>
      </c>
      <c r="AA93" s="321">
        <f t="shared" si="55"/>
        <v>0</v>
      </c>
      <c r="AB93" s="321" t="e">
        <f t="shared" si="50"/>
        <v>#DIV/0!</v>
      </c>
      <c r="AC93" s="73"/>
      <c r="AD93" s="73"/>
      <c r="AE93" s="73"/>
      <c r="AF93" s="314">
        <f t="shared" si="56"/>
        <v>0</v>
      </c>
      <c r="AG93" s="73"/>
      <c r="AH93" s="73"/>
      <c r="AI93" s="73"/>
      <c r="AJ93" s="73"/>
      <c r="AK93" s="321">
        <f t="shared" si="57"/>
        <v>0</v>
      </c>
      <c r="AL93" s="73"/>
      <c r="AM93" s="291"/>
    </row>
    <row r="94" spans="1:39" hidden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205"/>
      <c r="L94" s="73"/>
      <c r="M94" s="73"/>
      <c r="N94" s="73"/>
      <c r="O94" s="73"/>
      <c r="P94" s="73"/>
      <c r="Q94" s="150"/>
      <c r="R94" s="73"/>
      <c r="S94" s="205"/>
      <c r="T94" s="73"/>
      <c r="U94" s="76"/>
      <c r="V94" s="73"/>
      <c r="W94" s="76"/>
      <c r="X94" s="321">
        <f t="shared" si="53"/>
        <v>0</v>
      </c>
      <c r="Y94" s="321"/>
      <c r="Z94" s="321">
        <f t="shared" si="54"/>
        <v>0</v>
      </c>
      <c r="AA94" s="321">
        <f t="shared" si="55"/>
        <v>0</v>
      </c>
      <c r="AB94" s="321" t="e">
        <f t="shared" si="50"/>
        <v>#DIV/0!</v>
      </c>
      <c r="AC94" s="73"/>
      <c r="AD94" s="73"/>
      <c r="AE94" s="73"/>
      <c r="AF94" s="314">
        <f t="shared" si="56"/>
        <v>0</v>
      </c>
      <c r="AG94" s="73"/>
      <c r="AH94" s="73"/>
      <c r="AI94" s="73"/>
      <c r="AJ94" s="73"/>
      <c r="AK94" s="321">
        <f t="shared" si="57"/>
        <v>0</v>
      </c>
      <c r="AL94" s="73"/>
      <c r="AM94" s="291"/>
    </row>
    <row r="95" spans="1:39" hidden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205"/>
      <c r="L95" s="73"/>
      <c r="M95" s="73"/>
      <c r="N95" s="73"/>
      <c r="O95" s="73"/>
      <c r="P95" s="73"/>
      <c r="Q95" s="150"/>
      <c r="R95" s="73"/>
      <c r="S95" s="205"/>
      <c r="T95" s="73"/>
      <c r="U95" s="456">
        <f>U93+U91+U78</f>
        <v>12473.782999200002</v>
      </c>
      <c r="V95" s="456">
        <f t="shared" ref="V95:W95" si="59">V93+V91+V78</f>
        <v>138.10995309374999</v>
      </c>
      <c r="W95" s="456">
        <f t="shared" si="59"/>
        <v>1829.2116808000001</v>
      </c>
      <c r="X95" s="321">
        <f t="shared" si="53"/>
        <v>0</v>
      </c>
      <c r="Y95" s="321"/>
      <c r="Z95" s="321">
        <f t="shared" si="54"/>
        <v>0</v>
      </c>
      <c r="AA95" s="321">
        <f t="shared" si="55"/>
        <v>0</v>
      </c>
      <c r="AB95" s="321" t="e">
        <f t="shared" si="50"/>
        <v>#DIV/0!</v>
      </c>
      <c r="AC95" s="73"/>
      <c r="AD95" s="73"/>
      <c r="AE95" s="73"/>
      <c r="AF95" s="314">
        <f t="shared" si="56"/>
        <v>0</v>
      </c>
      <c r="AG95" s="73"/>
      <c r="AH95" s="73"/>
      <c r="AI95" s="73"/>
      <c r="AJ95" s="73"/>
      <c r="AK95" s="321">
        <f t="shared" si="57"/>
        <v>0</v>
      </c>
      <c r="AL95" s="73"/>
      <c r="AM95" s="291"/>
    </row>
    <row r="96" spans="1:39" hidden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205"/>
      <c r="L96" s="73"/>
      <c r="M96" s="73"/>
      <c r="N96" s="73"/>
      <c r="O96" s="73"/>
      <c r="P96" s="73"/>
      <c r="Q96" s="150"/>
      <c r="R96" s="73"/>
      <c r="S96" s="205"/>
      <c r="T96" s="73"/>
      <c r="U96" s="76"/>
      <c r="V96" s="73"/>
      <c r="W96" s="76"/>
      <c r="X96" s="321">
        <f t="shared" si="53"/>
        <v>0</v>
      </c>
      <c r="Y96" s="321"/>
      <c r="Z96" s="321">
        <f t="shared" si="54"/>
        <v>0</v>
      </c>
      <c r="AA96" s="321">
        <f t="shared" si="55"/>
        <v>0</v>
      </c>
      <c r="AB96" s="321" t="e">
        <f t="shared" si="50"/>
        <v>#DIV/0!</v>
      </c>
      <c r="AC96" s="73"/>
      <c r="AD96" s="73"/>
      <c r="AE96" s="73"/>
      <c r="AF96" s="314">
        <f t="shared" si="56"/>
        <v>0</v>
      </c>
      <c r="AG96" s="73"/>
      <c r="AH96" s="73"/>
      <c r="AI96" s="73"/>
      <c r="AJ96" s="73"/>
      <c r="AK96" s="321">
        <f t="shared" si="57"/>
        <v>0</v>
      </c>
      <c r="AL96" s="73"/>
      <c r="AM96" s="291"/>
    </row>
    <row r="97" spans="1:39" hidden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205"/>
      <c r="L97" s="73"/>
      <c r="M97" s="73"/>
      <c r="N97" s="73"/>
      <c r="O97" s="73"/>
      <c r="P97" s="73"/>
      <c r="Q97" s="150"/>
      <c r="R97" s="73"/>
      <c r="S97" s="205"/>
      <c r="T97" s="73"/>
      <c r="U97" s="460">
        <f>U95+V95</f>
        <v>12611.892952293752</v>
      </c>
      <c r="V97" s="73"/>
      <c r="W97" s="76"/>
      <c r="X97" s="321">
        <f t="shared" si="53"/>
        <v>0</v>
      </c>
      <c r="Y97" s="321"/>
      <c r="Z97" s="321">
        <f t="shared" si="54"/>
        <v>0</v>
      </c>
      <c r="AA97" s="321">
        <f t="shared" si="55"/>
        <v>0</v>
      </c>
      <c r="AB97" s="321" t="e">
        <f t="shared" si="50"/>
        <v>#DIV/0!</v>
      </c>
      <c r="AC97" s="73"/>
      <c r="AD97" s="73"/>
      <c r="AE97" s="73"/>
      <c r="AF97" s="314">
        <f t="shared" si="56"/>
        <v>0</v>
      </c>
      <c r="AG97" s="73"/>
      <c r="AH97" s="73"/>
      <c r="AI97" s="73"/>
      <c r="AJ97" s="73"/>
      <c r="AK97" s="321">
        <f t="shared" si="57"/>
        <v>0</v>
      </c>
      <c r="AL97" s="73"/>
      <c r="AM97" s="291"/>
    </row>
    <row r="98" spans="1:39" hidden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205"/>
      <c r="L98" s="73"/>
      <c r="M98" s="73"/>
      <c r="N98" s="73"/>
      <c r="O98" s="73"/>
      <c r="P98" s="73"/>
      <c r="Q98" s="150"/>
      <c r="R98" s="73"/>
      <c r="S98" s="205"/>
      <c r="T98" s="73"/>
      <c r="U98" s="76"/>
      <c r="V98" s="73"/>
      <c r="W98" s="76"/>
      <c r="X98" s="321">
        <f t="shared" si="53"/>
        <v>0</v>
      </c>
      <c r="Y98" s="321"/>
      <c r="Z98" s="321">
        <f t="shared" si="54"/>
        <v>0</v>
      </c>
      <c r="AA98" s="321">
        <f t="shared" si="55"/>
        <v>0</v>
      </c>
      <c r="AB98" s="321" t="e">
        <f t="shared" si="50"/>
        <v>#DIV/0!</v>
      </c>
      <c r="AC98" s="73"/>
      <c r="AD98" s="73"/>
      <c r="AE98" s="73"/>
      <c r="AF98" s="314">
        <f t="shared" si="56"/>
        <v>0</v>
      </c>
      <c r="AG98" s="73"/>
      <c r="AH98" s="73"/>
      <c r="AI98" s="73"/>
      <c r="AJ98" s="73"/>
      <c r="AK98" s="321">
        <f t="shared" si="57"/>
        <v>0</v>
      </c>
      <c r="AL98" s="73"/>
      <c r="AM98" s="291"/>
    </row>
    <row r="99" spans="1:39" hidden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205"/>
      <c r="L99" s="73"/>
      <c r="M99" s="73"/>
      <c r="N99" s="73"/>
      <c r="O99" s="73"/>
      <c r="P99" s="73"/>
      <c r="Q99" s="150"/>
      <c r="R99" s="73"/>
      <c r="S99" s="205"/>
      <c r="T99" s="73"/>
      <c r="U99" s="76"/>
      <c r="V99" s="73"/>
      <c r="W99" s="76"/>
      <c r="X99" s="321">
        <f t="shared" si="53"/>
        <v>0</v>
      </c>
      <c r="Y99" s="321"/>
      <c r="Z99" s="321">
        <f t="shared" si="54"/>
        <v>0</v>
      </c>
      <c r="AA99" s="321">
        <f t="shared" si="55"/>
        <v>0</v>
      </c>
      <c r="AB99" s="321" t="e">
        <f t="shared" si="50"/>
        <v>#DIV/0!</v>
      </c>
      <c r="AC99" s="73"/>
      <c r="AD99" s="73"/>
      <c r="AE99" s="73"/>
      <c r="AF99" s="314">
        <f t="shared" si="56"/>
        <v>0</v>
      </c>
      <c r="AG99" s="73"/>
      <c r="AH99" s="73"/>
      <c r="AI99" s="73"/>
      <c r="AJ99" s="73"/>
      <c r="AK99" s="321">
        <f t="shared" si="57"/>
        <v>0</v>
      </c>
      <c r="AL99" s="73"/>
      <c r="AM99" s="291"/>
    </row>
    <row r="100" spans="1:39" hidden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205"/>
      <c r="L100" s="73"/>
      <c r="M100" s="73"/>
      <c r="N100" s="73"/>
      <c r="O100" s="73"/>
      <c r="P100" s="73"/>
      <c r="Q100" s="150"/>
      <c r="R100" s="73"/>
      <c r="S100" s="205"/>
      <c r="T100" s="73"/>
      <c r="U100" s="76"/>
      <c r="V100" s="73"/>
      <c r="W100" s="76"/>
      <c r="X100" s="321">
        <f t="shared" si="53"/>
        <v>0</v>
      </c>
      <c r="Y100" s="321"/>
      <c r="Z100" s="321">
        <f t="shared" si="54"/>
        <v>0</v>
      </c>
      <c r="AA100" s="321">
        <f t="shared" si="55"/>
        <v>0</v>
      </c>
      <c r="AB100" s="321" t="e">
        <f t="shared" si="50"/>
        <v>#DIV/0!</v>
      </c>
      <c r="AC100" s="73"/>
      <c r="AD100" s="73"/>
      <c r="AE100" s="73"/>
      <c r="AF100" s="314">
        <f t="shared" si="56"/>
        <v>0</v>
      </c>
      <c r="AG100" s="73"/>
      <c r="AH100" s="73"/>
      <c r="AI100" s="73"/>
      <c r="AJ100" s="73"/>
      <c r="AK100" s="321">
        <f t="shared" si="57"/>
        <v>0</v>
      </c>
      <c r="AL100" s="73"/>
      <c r="AM100" s="291"/>
    </row>
    <row r="101" spans="1:39" hidden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205"/>
      <c r="L101" s="73"/>
      <c r="M101" s="73"/>
      <c r="N101" s="73"/>
      <c r="O101" s="73"/>
      <c r="P101" s="73"/>
      <c r="Q101" s="150"/>
      <c r="R101" s="73"/>
      <c r="S101" s="205"/>
      <c r="T101" s="73"/>
      <c r="U101" s="73">
        <v>12000.000004000003</v>
      </c>
      <c r="V101" s="73"/>
      <c r="W101" s="73">
        <v>1782.86</v>
      </c>
      <c r="X101" s="321">
        <f t="shared" si="53"/>
        <v>0</v>
      </c>
      <c r="Y101" s="321"/>
      <c r="Z101" s="321">
        <f t="shared" si="54"/>
        <v>0</v>
      </c>
      <c r="AA101" s="321">
        <f t="shared" si="55"/>
        <v>0</v>
      </c>
      <c r="AB101" s="321" t="e">
        <f t="shared" si="50"/>
        <v>#DIV/0!</v>
      </c>
      <c r="AC101" s="73"/>
      <c r="AD101" s="73"/>
      <c r="AE101" s="73"/>
      <c r="AF101" s="314">
        <f t="shared" si="56"/>
        <v>0</v>
      </c>
      <c r="AG101" s="73"/>
      <c r="AH101" s="73"/>
      <c r="AI101" s="73"/>
      <c r="AJ101" s="73"/>
      <c r="AK101" s="321">
        <f t="shared" si="57"/>
        <v>0</v>
      </c>
      <c r="AL101" s="73"/>
      <c r="AM101" s="291"/>
    </row>
    <row r="102" spans="1:39" hidden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205"/>
      <c r="L102" s="73"/>
      <c r="M102" s="73"/>
      <c r="N102" s="73"/>
      <c r="O102" s="73"/>
      <c r="P102" s="73"/>
      <c r="Q102" s="150"/>
      <c r="R102" s="73"/>
      <c r="S102" s="205"/>
      <c r="T102" s="73"/>
      <c r="U102" s="76"/>
      <c r="V102" s="73"/>
      <c r="W102" s="76"/>
      <c r="X102" s="321">
        <f t="shared" si="53"/>
        <v>0</v>
      </c>
      <c r="Y102" s="321"/>
      <c r="Z102" s="321">
        <f t="shared" si="54"/>
        <v>0</v>
      </c>
      <c r="AA102" s="321">
        <f t="shared" si="55"/>
        <v>0</v>
      </c>
      <c r="AB102" s="321" t="e">
        <f t="shared" si="50"/>
        <v>#DIV/0!</v>
      </c>
      <c r="AC102" s="73"/>
      <c r="AD102" s="73"/>
      <c r="AE102" s="73"/>
      <c r="AF102" s="314">
        <f t="shared" si="56"/>
        <v>0</v>
      </c>
      <c r="AG102" s="73"/>
      <c r="AH102" s="73"/>
      <c r="AI102" s="73"/>
      <c r="AJ102" s="73"/>
      <c r="AK102" s="321">
        <f t="shared" si="57"/>
        <v>0</v>
      </c>
      <c r="AL102" s="73"/>
      <c r="AM102" s="291"/>
    </row>
    <row r="103" spans="1:39" hidden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205"/>
      <c r="L103" s="73"/>
      <c r="M103" s="73"/>
      <c r="N103" s="73"/>
      <c r="O103" s="73"/>
      <c r="P103" s="73"/>
      <c r="Q103" s="150"/>
      <c r="R103" s="73"/>
      <c r="S103" s="205"/>
      <c r="T103" s="73"/>
      <c r="U103" s="460">
        <f>U101-U97</f>
        <v>-611.89294829374921</v>
      </c>
      <c r="V103" s="73"/>
      <c r="W103" s="460">
        <f>W101-W95</f>
        <v>-46.351680800000167</v>
      </c>
      <c r="X103" s="321">
        <f t="shared" si="53"/>
        <v>0</v>
      </c>
      <c r="Y103" s="321"/>
      <c r="Z103" s="321">
        <f t="shared" si="54"/>
        <v>0</v>
      </c>
      <c r="AA103" s="321">
        <f t="shared" si="55"/>
        <v>0</v>
      </c>
      <c r="AB103" s="321" t="e">
        <f t="shared" si="50"/>
        <v>#DIV/0!</v>
      </c>
      <c r="AC103" s="73"/>
      <c r="AD103" s="73"/>
      <c r="AE103" s="73"/>
      <c r="AF103" s="314">
        <f t="shared" si="56"/>
        <v>0</v>
      </c>
      <c r="AG103" s="73"/>
      <c r="AH103" s="73"/>
      <c r="AI103" s="73"/>
      <c r="AJ103" s="73"/>
      <c r="AK103" s="321">
        <f t="shared" si="57"/>
        <v>0</v>
      </c>
      <c r="AL103" s="73"/>
      <c r="AM103" s="291"/>
    </row>
    <row r="104" spans="1:39" hidden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205"/>
      <c r="L104" s="73"/>
      <c r="M104" s="73"/>
      <c r="N104" s="73"/>
      <c r="O104" s="73"/>
      <c r="P104" s="73"/>
      <c r="Q104" s="150"/>
      <c r="R104" s="73"/>
      <c r="S104" s="205"/>
      <c r="T104" s="73"/>
      <c r="U104" s="76"/>
      <c r="V104" s="73"/>
      <c r="W104" s="76"/>
      <c r="X104" s="321">
        <f t="shared" si="53"/>
        <v>0</v>
      </c>
      <c r="Y104" s="321"/>
      <c r="Z104" s="321">
        <f t="shared" si="54"/>
        <v>0</v>
      </c>
      <c r="AA104" s="321">
        <f t="shared" si="55"/>
        <v>0</v>
      </c>
      <c r="AB104" s="321" t="e">
        <f t="shared" si="50"/>
        <v>#DIV/0!</v>
      </c>
      <c r="AC104" s="73"/>
      <c r="AD104" s="73"/>
      <c r="AE104" s="73"/>
      <c r="AF104" s="314">
        <f t="shared" si="56"/>
        <v>0</v>
      </c>
      <c r="AG104" s="73"/>
      <c r="AH104" s="73"/>
      <c r="AI104" s="73"/>
      <c r="AJ104" s="73"/>
      <c r="AK104" s="321">
        <f t="shared" si="57"/>
        <v>0</v>
      </c>
      <c r="AL104" s="73"/>
      <c r="AM104" s="291"/>
    </row>
    <row r="105" spans="1:39" hidden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205"/>
      <c r="L105" s="73"/>
      <c r="M105" s="73"/>
      <c r="N105" s="73"/>
      <c r="O105" s="73"/>
      <c r="P105" s="73"/>
      <c r="Q105" s="150"/>
      <c r="R105" s="73"/>
      <c r="S105" s="205"/>
      <c r="T105" s="73"/>
      <c r="U105" s="76"/>
      <c r="V105" s="73"/>
      <c r="W105" s="76"/>
      <c r="X105" s="321">
        <f t="shared" si="53"/>
        <v>0</v>
      </c>
      <c r="Y105" s="321"/>
      <c r="Z105" s="321">
        <f t="shared" si="54"/>
        <v>0</v>
      </c>
      <c r="AA105" s="321">
        <f t="shared" si="55"/>
        <v>0</v>
      </c>
      <c r="AB105" s="321" t="e">
        <f t="shared" si="50"/>
        <v>#DIV/0!</v>
      </c>
      <c r="AC105" s="73"/>
      <c r="AD105" s="73"/>
      <c r="AE105" s="73"/>
      <c r="AF105" s="314">
        <f t="shared" si="56"/>
        <v>0</v>
      </c>
      <c r="AG105" s="73"/>
      <c r="AH105" s="73"/>
      <c r="AI105" s="73"/>
      <c r="AJ105" s="73"/>
      <c r="AK105" s="321">
        <f t="shared" si="57"/>
        <v>0</v>
      </c>
      <c r="AL105" s="73"/>
      <c r="AM105" s="291"/>
    </row>
    <row r="106" spans="1:39" hidden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205"/>
      <c r="L106" s="73"/>
      <c r="M106" s="73"/>
      <c r="N106" s="73"/>
      <c r="O106" s="73"/>
      <c r="P106" s="73"/>
      <c r="Q106" s="150"/>
      <c r="R106" s="73"/>
      <c r="S106" s="205"/>
      <c r="T106" s="73"/>
      <c r="U106" s="76"/>
      <c r="V106" s="73"/>
      <c r="W106" s="76"/>
      <c r="X106" s="321">
        <f t="shared" si="53"/>
        <v>0</v>
      </c>
      <c r="Y106" s="321"/>
      <c r="Z106" s="321">
        <f t="shared" si="54"/>
        <v>0</v>
      </c>
      <c r="AA106" s="321">
        <f t="shared" si="55"/>
        <v>0</v>
      </c>
      <c r="AB106" s="321" t="e">
        <f t="shared" si="50"/>
        <v>#DIV/0!</v>
      </c>
      <c r="AC106" s="73"/>
      <c r="AD106" s="73"/>
      <c r="AE106" s="73"/>
      <c r="AF106" s="314">
        <f t="shared" si="56"/>
        <v>0</v>
      </c>
      <c r="AG106" s="73"/>
      <c r="AH106" s="73"/>
      <c r="AI106" s="73"/>
      <c r="AJ106" s="73"/>
      <c r="AK106" s="321">
        <f t="shared" si="57"/>
        <v>0</v>
      </c>
      <c r="AL106" s="73"/>
      <c r="AM106" s="291"/>
    </row>
    <row r="107" spans="1:39" hidden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205"/>
      <c r="L107" s="73"/>
      <c r="M107" s="73"/>
      <c r="N107" s="73"/>
      <c r="O107" s="73"/>
      <c r="P107" s="73"/>
      <c r="Q107" s="150"/>
      <c r="R107" s="73"/>
      <c r="S107" s="205"/>
      <c r="T107" s="73"/>
      <c r="U107" s="76"/>
      <c r="V107" s="73"/>
      <c r="W107" s="76"/>
      <c r="X107" s="321">
        <f t="shared" si="53"/>
        <v>0</v>
      </c>
      <c r="Y107" s="321"/>
      <c r="Z107" s="321">
        <f t="shared" si="54"/>
        <v>0</v>
      </c>
      <c r="AA107" s="321">
        <f t="shared" si="55"/>
        <v>0</v>
      </c>
      <c r="AB107" s="321" t="e">
        <f t="shared" si="50"/>
        <v>#DIV/0!</v>
      </c>
      <c r="AC107" s="73"/>
      <c r="AD107" s="73"/>
      <c r="AE107" s="73"/>
      <c r="AF107" s="314">
        <f t="shared" si="56"/>
        <v>0</v>
      </c>
      <c r="AG107" s="73"/>
      <c r="AH107" s="73"/>
      <c r="AI107" s="73"/>
      <c r="AJ107" s="73"/>
      <c r="AK107" s="321">
        <f t="shared" si="57"/>
        <v>0</v>
      </c>
      <c r="AL107" s="73"/>
      <c r="AM107" s="291"/>
    </row>
    <row r="108" spans="1:39" hidden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205"/>
      <c r="L108" s="73"/>
      <c r="M108" s="73"/>
      <c r="N108" s="73"/>
      <c r="O108" s="73"/>
      <c r="P108" s="73"/>
      <c r="Q108" s="150"/>
      <c r="R108" s="73"/>
      <c r="S108" s="205"/>
      <c r="T108" s="73"/>
      <c r="U108" s="76"/>
      <c r="V108" s="73"/>
      <c r="W108" s="76"/>
      <c r="X108" s="321">
        <f t="shared" si="53"/>
        <v>0</v>
      </c>
      <c r="Y108" s="321"/>
      <c r="Z108" s="321">
        <f t="shared" si="54"/>
        <v>0</v>
      </c>
      <c r="AA108" s="321">
        <f t="shared" si="55"/>
        <v>0</v>
      </c>
      <c r="AB108" s="321" t="e">
        <f t="shared" si="50"/>
        <v>#DIV/0!</v>
      </c>
      <c r="AC108" s="73"/>
      <c r="AD108" s="73"/>
      <c r="AE108" s="73"/>
      <c r="AF108" s="314">
        <f t="shared" si="56"/>
        <v>0</v>
      </c>
      <c r="AG108" s="73"/>
      <c r="AH108" s="73"/>
      <c r="AI108" s="73"/>
      <c r="AJ108" s="73"/>
      <c r="AK108" s="321">
        <f t="shared" si="57"/>
        <v>0</v>
      </c>
      <c r="AL108" s="73"/>
      <c r="AM108" s="291"/>
    </row>
    <row r="109" spans="1:39" hidden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205"/>
      <c r="L109" s="73"/>
      <c r="M109" s="73"/>
      <c r="N109" s="73"/>
      <c r="O109" s="73"/>
      <c r="P109" s="73"/>
      <c r="Q109" s="150"/>
      <c r="R109" s="73"/>
      <c r="S109" s="205"/>
      <c r="T109" s="73"/>
      <c r="U109" s="76"/>
      <c r="V109" s="73"/>
      <c r="W109" s="76"/>
      <c r="X109" s="321">
        <f t="shared" si="53"/>
        <v>0</v>
      </c>
      <c r="Y109" s="321"/>
      <c r="Z109" s="321">
        <f t="shared" si="54"/>
        <v>0</v>
      </c>
      <c r="AA109" s="321">
        <f t="shared" si="55"/>
        <v>0</v>
      </c>
      <c r="AB109" s="321" t="e">
        <f t="shared" si="50"/>
        <v>#DIV/0!</v>
      </c>
      <c r="AC109" s="73"/>
      <c r="AD109" s="73"/>
      <c r="AE109" s="73"/>
      <c r="AF109" s="314">
        <f t="shared" si="56"/>
        <v>0</v>
      </c>
      <c r="AG109" s="73"/>
      <c r="AH109" s="73"/>
      <c r="AI109" s="73"/>
      <c r="AJ109" s="73"/>
      <c r="AK109" s="321">
        <f t="shared" si="57"/>
        <v>0</v>
      </c>
      <c r="AL109" s="73"/>
      <c r="AM109" s="291"/>
    </row>
    <row r="110" spans="1:39" hidden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205"/>
      <c r="L110" s="73"/>
      <c r="M110" s="73"/>
      <c r="N110" s="73"/>
      <c r="O110" s="73"/>
      <c r="P110" s="73"/>
      <c r="Q110" s="150"/>
      <c r="R110" s="456" t="e">
        <f>'[1]Detailed AWPB Com-1'!#REF!</f>
        <v>#REF!</v>
      </c>
      <c r="S110" s="457"/>
      <c r="T110" s="456" t="e">
        <f>'[1]Detailed AWPB Com-1'!#REF!</f>
        <v>#REF!</v>
      </c>
      <c r="U110" s="460" t="e">
        <f>'[1]Detailed AWPB Com-1'!#REF!</f>
        <v>#REF!</v>
      </c>
      <c r="V110" s="456"/>
      <c r="W110" s="460"/>
      <c r="X110" s="321">
        <f t="shared" si="53"/>
        <v>0</v>
      </c>
      <c r="Y110" s="321"/>
      <c r="Z110" s="321">
        <f t="shared" si="54"/>
        <v>0</v>
      </c>
      <c r="AA110" s="321">
        <f t="shared" si="55"/>
        <v>0</v>
      </c>
      <c r="AB110" s="321" t="e">
        <f t="shared" si="50"/>
        <v>#DIV/0!</v>
      </c>
      <c r="AC110" s="73"/>
      <c r="AD110" s="73"/>
      <c r="AE110" s="73"/>
      <c r="AF110" s="314">
        <f t="shared" si="56"/>
        <v>0</v>
      </c>
      <c r="AG110" s="73"/>
      <c r="AH110" s="73"/>
      <c r="AI110" s="73"/>
      <c r="AJ110" s="73"/>
      <c r="AK110" s="321">
        <f t="shared" si="57"/>
        <v>0</v>
      </c>
      <c r="AL110" s="73"/>
      <c r="AM110" s="291"/>
    </row>
    <row r="111" spans="1:39" hidden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205"/>
      <c r="L111" s="73"/>
      <c r="M111" s="73"/>
      <c r="N111" s="73"/>
      <c r="O111" s="73"/>
      <c r="P111" s="73"/>
      <c r="Q111" s="150"/>
      <c r="R111" s="73"/>
      <c r="S111" s="205"/>
      <c r="T111" s="73"/>
      <c r="U111" s="76"/>
      <c r="V111" s="73"/>
      <c r="W111" s="76"/>
      <c r="X111" s="321">
        <f t="shared" si="53"/>
        <v>0</v>
      </c>
      <c r="Y111" s="321"/>
      <c r="Z111" s="321">
        <f t="shared" si="54"/>
        <v>0</v>
      </c>
      <c r="AA111" s="321">
        <f t="shared" si="55"/>
        <v>0</v>
      </c>
      <c r="AB111" s="321" t="e">
        <f t="shared" si="50"/>
        <v>#DIV/0!</v>
      </c>
      <c r="AC111" s="73"/>
      <c r="AD111" s="73"/>
      <c r="AE111" s="73"/>
      <c r="AF111" s="314">
        <f t="shared" si="56"/>
        <v>0</v>
      </c>
      <c r="AG111" s="73"/>
      <c r="AH111" s="73"/>
      <c r="AI111" s="73"/>
      <c r="AJ111" s="73"/>
      <c r="AK111" s="321">
        <f t="shared" si="57"/>
        <v>0</v>
      </c>
      <c r="AL111" s="73"/>
      <c r="AM111" s="291"/>
    </row>
    <row r="112" spans="1:39" hidden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205"/>
      <c r="L112" s="73"/>
      <c r="M112" s="73"/>
      <c r="N112" s="73"/>
      <c r="O112" s="73"/>
      <c r="P112" s="73"/>
      <c r="Q112" s="150"/>
      <c r="R112" s="461" t="e">
        <f>'[1]Detailed AWBCom-3 &amp; Total '!#REF!</f>
        <v>#REF!</v>
      </c>
      <c r="S112" s="462"/>
      <c r="T112" s="73"/>
      <c r="U112" s="76">
        <v>306.58000000000004</v>
      </c>
      <c r="V112" s="73"/>
      <c r="W112" s="76"/>
      <c r="X112" s="321">
        <f t="shared" si="53"/>
        <v>0</v>
      </c>
      <c r="Y112" s="321"/>
      <c r="Z112" s="321">
        <f t="shared" si="54"/>
        <v>0</v>
      </c>
      <c r="AA112" s="321">
        <f t="shared" si="55"/>
        <v>0</v>
      </c>
      <c r="AB112" s="321" t="e">
        <f t="shared" si="50"/>
        <v>#DIV/0!</v>
      </c>
      <c r="AC112" s="73"/>
      <c r="AD112" s="73"/>
      <c r="AE112" s="73"/>
      <c r="AF112" s="314">
        <f t="shared" si="56"/>
        <v>0</v>
      </c>
      <c r="AG112" s="73"/>
      <c r="AH112" s="73"/>
      <c r="AI112" s="73"/>
      <c r="AJ112" s="73"/>
      <c r="AK112" s="321">
        <f t="shared" si="57"/>
        <v>0</v>
      </c>
      <c r="AL112" s="73"/>
      <c r="AM112" s="291"/>
    </row>
    <row r="113" spans="1:39" hidden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205"/>
      <c r="L113" s="73"/>
      <c r="M113" s="73"/>
      <c r="N113" s="73"/>
      <c r="O113" s="73"/>
      <c r="P113" s="73"/>
      <c r="Q113" s="150"/>
      <c r="R113" s="456"/>
      <c r="S113" s="457"/>
      <c r="T113" s="456"/>
      <c r="U113" s="460"/>
      <c r="V113" s="456"/>
      <c r="W113" s="460"/>
      <c r="X113" s="321">
        <f t="shared" si="53"/>
        <v>0</v>
      </c>
      <c r="Y113" s="321"/>
      <c r="Z113" s="321">
        <f t="shared" si="54"/>
        <v>0</v>
      </c>
      <c r="AA113" s="321">
        <f t="shared" si="55"/>
        <v>0</v>
      </c>
      <c r="AB113" s="321" t="e">
        <f t="shared" si="50"/>
        <v>#DIV/0!</v>
      </c>
      <c r="AC113" s="73"/>
      <c r="AD113" s="73"/>
      <c r="AE113" s="73"/>
      <c r="AF113" s="314">
        <f t="shared" si="56"/>
        <v>0</v>
      </c>
      <c r="AG113" s="73"/>
      <c r="AH113" s="73"/>
      <c r="AI113" s="73"/>
      <c r="AJ113" s="73"/>
      <c r="AK113" s="321">
        <f t="shared" si="57"/>
        <v>0</v>
      </c>
      <c r="AL113" s="73"/>
      <c r="AM113" s="291"/>
    </row>
    <row r="114" spans="1:39" hidden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205"/>
      <c r="L114" s="73"/>
      <c r="M114" s="73"/>
      <c r="N114" s="73"/>
      <c r="O114" s="73"/>
      <c r="P114" s="73"/>
      <c r="Q114" s="150"/>
      <c r="R114" s="456" t="e">
        <f>R112+R110+#REF!</f>
        <v>#REF!</v>
      </c>
      <c r="S114" s="457"/>
      <c r="T114" s="456" t="e">
        <f>T110+V78</f>
        <v>#REF!</v>
      </c>
      <c r="U114" s="460" t="e">
        <f>U112+U110+W78</f>
        <v>#REF!</v>
      </c>
      <c r="V114" s="73"/>
      <c r="W114" s="76"/>
      <c r="X114" s="321">
        <f t="shared" si="53"/>
        <v>0</v>
      </c>
      <c r="Y114" s="321"/>
      <c r="Z114" s="321">
        <f t="shared" si="54"/>
        <v>0</v>
      </c>
      <c r="AA114" s="321">
        <f t="shared" si="55"/>
        <v>0</v>
      </c>
      <c r="AB114" s="321" t="e">
        <f t="shared" si="50"/>
        <v>#DIV/0!</v>
      </c>
      <c r="AC114" s="73"/>
      <c r="AD114" s="73"/>
      <c r="AE114" s="73"/>
      <c r="AF114" s="314">
        <f t="shared" si="56"/>
        <v>0</v>
      </c>
      <c r="AG114" s="73"/>
      <c r="AH114" s="73"/>
      <c r="AI114" s="73"/>
      <c r="AJ114" s="73"/>
      <c r="AK114" s="321">
        <f t="shared" si="57"/>
        <v>0</v>
      </c>
      <c r="AL114" s="73"/>
      <c r="AM114" s="291"/>
    </row>
    <row r="115" spans="1:39" hidden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205"/>
      <c r="L115" s="73"/>
      <c r="M115" s="73"/>
      <c r="N115" s="73"/>
      <c r="O115" s="73"/>
      <c r="P115" s="73"/>
      <c r="Q115" s="150"/>
      <c r="R115" s="73"/>
      <c r="S115" s="205"/>
      <c r="T115" s="73"/>
      <c r="U115" s="76"/>
      <c r="V115" s="73"/>
      <c r="W115" s="76"/>
      <c r="X115" s="321">
        <f t="shared" si="53"/>
        <v>0</v>
      </c>
      <c r="Y115" s="321"/>
      <c r="Z115" s="321">
        <f t="shared" si="54"/>
        <v>0</v>
      </c>
      <c r="AA115" s="321">
        <f t="shared" si="55"/>
        <v>0</v>
      </c>
      <c r="AB115" s="321" t="e">
        <f t="shared" si="50"/>
        <v>#DIV/0!</v>
      </c>
      <c r="AC115" s="73"/>
      <c r="AD115" s="73"/>
      <c r="AE115" s="73"/>
      <c r="AF115" s="314">
        <f t="shared" si="56"/>
        <v>0</v>
      </c>
      <c r="AG115" s="73"/>
      <c r="AH115" s="73"/>
      <c r="AI115" s="73"/>
      <c r="AJ115" s="73"/>
      <c r="AK115" s="321">
        <f t="shared" si="57"/>
        <v>0</v>
      </c>
      <c r="AL115" s="73"/>
      <c r="AM115" s="291"/>
    </row>
    <row r="116" spans="1:39" hidden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205"/>
      <c r="L116" s="73"/>
      <c r="M116" s="73"/>
      <c r="N116" s="73"/>
      <c r="O116" s="73"/>
      <c r="P116" s="73"/>
      <c r="Q116" s="150"/>
      <c r="R116" s="73"/>
      <c r="S116" s="205"/>
      <c r="T116" s="73"/>
      <c r="U116" s="76"/>
      <c r="V116" s="73"/>
      <c r="W116" s="76"/>
      <c r="X116" s="321">
        <f t="shared" si="53"/>
        <v>0</v>
      </c>
      <c r="Y116" s="321"/>
      <c r="Z116" s="321">
        <f t="shared" si="54"/>
        <v>0</v>
      </c>
      <c r="AA116" s="321">
        <f t="shared" si="55"/>
        <v>0</v>
      </c>
      <c r="AB116" s="321" t="e">
        <f t="shared" si="50"/>
        <v>#DIV/0!</v>
      </c>
      <c r="AC116" s="73"/>
      <c r="AD116" s="73"/>
      <c r="AE116" s="73"/>
      <c r="AF116" s="314">
        <f t="shared" si="56"/>
        <v>0</v>
      </c>
      <c r="AG116" s="73"/>
      <c r="AH116" s="73"/>
      <c r="AI116" s="73"/>
      <c r="AJ116" s="73"/>
      <c r="AK116" s="321">
        <f t="shared" si="57"/>
        <v>0</v>
      </c>
      <c r="AL116" s="73"/>
      <c r="AM116" s="291"/>
    </row>
    <row r="117" spans="1:39" hidden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205"/>
      <c r="L117" s="73"/>
      <c r="M117" s="73"/>
      <c r="N117" s="73"/>
      <c r="O117" s="73"/>
      <c r="P117" s="73"/>
      <c r="Q117" s="150"/>
      <c r="R117" s="73"/>
      <c r="S117" s="205"/>
      <c r="T117" s="73"/>
      <c r="U117" s="76"/>
      <c r="V117" s="73"/>
      <c r="W117" s="76"/>
      <c r="X117" s="321">
        <f t="shared" si="53"/>
        <v>0</v>
      </c>
      <c r="Y117" s="321"/>
      <c r="Z117" s="321">
        <f t="shared" si="54"/>
        <v>0</v>
      </c>
      <c r="AA117" s="321">
        <f t="shared" si="55"/>
        <v>0</v>
      </c>
      <c r="AB117" s="321" t="e">
        <f t="shared" si="50"/>
        <v>#DIV/0!</v>
      </c>
      <c r="AC117" s="73"/>
      <c r="AD117" s="73"/>
      <c r="AE117" s="73"/>
      <c r="AF117" s="314">
        <f t="shared" si="56"/>
        <v>0</v>
      </c>
      <c r="AG117" s="73"/>
      <c r="AH117" s="73"/>
      <c r="AI117" s="73"/>
      <c r="AJ117" s="73"/>
      <c r="AK117" s="321">
        <f t="shared" si="57"/>
        <v>0</v>
      </c>
      <c r="AL117" s="73"/>
      <c r="AM117" s="291"/>
    </row>
    <row r="118" spans="1:39" hidden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205"/>
      <c r="L118" s="73"/>
      <c r="M118" s="73"/>
      <c r="N118" s="73"/>
      <c r="O118" s="73"/>
      <c r="P118" s="73"/>
      <c r="Q118" s="150"/>
      <c r="R118" s="73">
        <v>13782.860004000002</v>
      </c>
      <c r="S118" s="205"/>
      <c r="T118" s="73"/>
      <c r="U118" s="73">
        <v>1782.86</v>
      </c>
      <c r="V118" s="73"/>
      <c r="W118" s="76"/>
      <c r="X118" s="321">
        <f t="shared" si="53"/>
        <v>0</v>
      </c>
      <c r="Y118" s="321"/>
      <c r="Z118" s="321">
        <f t="shared" si="54"/>
        <v>0</v>
      </c>
      <c r="AA118" s="321">
        <f t="shared" si="55"/>
        <v>0</v>
      </c>
      <c r="AB118" s="321" t="e">
        <f t="shared" si="50"/>
        <v>#DIV/0!</v>
      </c>
      <c r="AC118" s="73"/>
      <c r="AD118" s="73"/>
      <c r="AE118" s="73"/>
      <c r="AF118" s="314">
        <f t="shared" si="56"/>
        <v>0</v>
      </c>
      <c r="AG118" s="73"/>
      <c r="AH118" s="73"/>
      <c r="AI118" s="73"/>
      <c r="AJ118" s="73"/>
      <c r="AK118" s="321">
        <f t="shared" si="57"/>
        <v>0</v>
      </c>
      <c r="AL118" s="73"/>
      <c r="AM118" s="291"/>
    </row>
    <row r="119" spans="1:39" hidden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205"/>
      <c r="L119" s="73"/>
      <c r="M119" s="73"/>
      <c r="N119" s="73"/>
      <c r="O119" s="73"/>
      <c r="P119" s="73"/>
      <c r="Q119" s="150"/>
      <c r="R119" s="73"/>
      <c r="S119" s="205"/>
      <c r="T119" s="73"/>
      <c r="U119" s="76"/>
      <c r="V119" s="73"/>
      <c r="W119" s="76"/>
      <c r="X119" s="321">
        <f t="shared" si="53"/>
        <v>0</v>
      </c>
      <c r="Y119" s="321"/>
      <c r="Z119" s="321">
        <f t="shared" si="54"/>
        <v>0</v>
      </c>
      <c r="AA119" s="321">
        <f t="shared" si="55"/>
        <v>0</v>
      </c>
      <c r="AB119" s="321" t="e">
        <f t="shared" si="50"/>
        <v>#DIV/0!</v>
      </c>
      <c r="AC119" s="73"/>
      <c r="AD119" s="73"/>
      <c r="AE119" s="73"/>
      <c r="AF119" s="314">
        <f t="shared" si="56"/>
        <v>0</v>
      </c>
      <c r="AG119" s="73"/>
      <c r="AH119" s="73"/>
      <c r="AI119" s="73"/>
      <c r="AJ119" s="73"/>
      <c r="AK119" s="321">
        <f t="shared" si="57"/>
        <v>0</v>
      </c>
      <c r="AL119" s="73"/>
      <c r="AM119" s="291"/>
    </row>
    <row r="120" spans="1:39" hidden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205"/>
      <c r="L120" s="73"/>
      <c r="M120" s="73"/>
      <c r="N120" s="73"/>
      <c r="O120" s="73"/>
      <c r="P120" s="73"/>
      <c r="Q120" s="150"/>
      <c r="R120" s="456" t="e">
        <f>R118-R114</f>
        <v>#REF!</v>
      </c>
      <c r="S120" s="457"/>
      <c r="T120" s="73"/>
      <c r="U120" s="460" t="e">
        <f>U118-U114</f>
        <v>#REF!</v>
      </c>
      <c r="V120" s="73"/>
      <c r="W120" s="76"/>
      <c r="X120" s="321">
        <f t="shared" si="53"/>
        <v>0</v>
      </c>
      <c r="Y120" s="321"/>
      <c r="Z120" s="321">
        <f t="shared" si="54"/>
        <v>0</v>
      </c>
      <c r="AA120" s="321">
        <f t="shared" si="55"/>
        <v>0</v>
      </c>
      <c r="AB120" s="321" t="e">
        <f t="shared" si="50"/>
        <v>#DIV/0!</v>
      </c>
      <c r="AC120" s="73"/>
      <c r="AD120" s="73"/>
      <c r="AE120" s="73"/>
      <c r="AF120" s="314">
        <f t="shared" si="56"/>
        <v>0</v>
      </c>
      <c r="AG120" s="73"/>
      <c r="AH120" s="73"/>
      <c r="AI120" s="73"/>
      <c r="AJ120" s="73"/>
      <c r="AK120" s="321">
        <f t="shared" si="57"/>
        <v>0</v>
      </c>
      <c r="AL120" s="73"/>
      <c r="AM120" s="291"/>
    </row>
    <row r="121" spans="1:39" hidden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205"/>
      <c r="L121" s="73"/>
      <c r="M121" s="73"/>
      <c r="N121" s="73"/>
      <c r="O121" s="73"/>
      <c r="P121" s="73"/>
      <c r="Q121" s="150"/>
      <c r="R121" s="73"/>
      <c r="S121" s="205"/>
      <c r="T121" s="73"/>
      <c r="U121" s="76"/>
      <c r="V121" s="73"/>
      <c r="W121" s="76"/>
      <c r="X121" s="321">
        <f t="shared" si="53"/>
        <v>0</v>
      </c>
      <c r="Y121" s="321"/>
      <c r="Z121" s="321">
        <f t="shared" si="54"/>
        <v>0</v>
      </c>
      <c r="AA121" s="321">
        <f t="shared" si="55"/>
        <v>0</v>
      </c>
      <c r="AB121" s="321" t="e">
        <f t="shared" si="50"/>
        <v>#DIV/0!</v>
      </c>
      <c r="AC121" s="73"/>
      <c r="AD121" s="73"/>
      <c r="AE121" s="73"/>
      <c r="AF121" s="314">
        <f t="shared" si="56"/>
        <v>0</v>
      </c>
      <c r="AG121" s="73"/>
      <c r="AH121" s="73"/>
      <c r="AI121" s="73"/>
      <c r="AJ121" s="73"/>
      <c r="AK121" s="321">
        <f t="shared" si="57"/>
        <v>0</v>
      </c>
      <c r="AL121" s="73"/>
      <c r="AM121" s="291"/>
    </row>
    <row r="122" spans="1:39" hidden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205"/>
      <c r="L122" s="73"/>
      <c r="M122" s="73"/>
      <c r="N122" s="73"/>
      <c r="O122" s="73"/>
      <c r="P122" s="73"/>
      <c r="Q122" s="150"/>
      <c r="R122" s="73"/>
      <c r="S122" s="205"/>
      <c r="T122" s="73"/>
      <c r="U122" s="76"/>
      <c r="V122" s="73"/>
      <c r="W122" s="76"/>
      <c r="X122" s="321">
        <f t="shared" si="53"/>
        <v>0</v>
      </c>
      <c r="Y122" s="321"/>
      <c r="Z122" s="321">
        <f t="shared" si="54"/>
        <v>0</v>
      </c>
      <c r="AA122" s="321">
        <f t="shared" si="55"/>
        <v>0</v>
      </c>
      <c r="AB122" s="321" t="e">
        <f t="shared" si="50"/>
        <v>#DIV/0!</v>
      </c>
      <c r="AC122" s="73"/>
      <c r="AD122" s="73"/>
      <c r="AE122" s="73"/>
      <c r="AF122" s="314">
        <f t="shared" si="56"/>
        <v>0</v>
      </c>
      <c r="AG122" s="73"/>
      <c r="AH122" s="73"/>
      <c r="AI122" s="73"/>
      <c r="AJ122" s="73"/>
      <c r="AK122" s="321">
        <f t="shared" si="57"/>
        <v>0</v>
      </c>
      <c r="AL122" s="73"/>
      <c r="AM122" s="291"/>
    </row>
    <row r="123" spans="1:39" hidden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205"/>
      <c r="L123" s="73"/>
      <c r="M123" s="73"/>
      <c r="N123" s="73"/>
      <c r="O123" s="73"/>
      <c r="P123" s="73"/>
      <c r="Q123" s="150"/>
      <c r="R123" s="73"/>
      <c r="S123" s="205"/>
      <c r="T123" s="73"/>
      <c r="U123" s="76"/>
      <c r="V123" s="73"/>
      <c r="W123" s="76"/>
      <c r="X123" s="321">
        <f t="shared" si="53"/>
        <v>0</v>
      </c>
      <c r="Y123" s="321"/>
      <c r="Z123" s="321">
        <f t="shared" si="54"/>
        <v>0</v>
      </c>
      <c r="AA123" s="321">
        <f t="shared" si="55"/>
        <v>0</v>
      </c>
      <c r="AB123" s="321" t="e">
        <f t="shared" si="50"/>
        <v>#DIV/0!</v>
      </c>
      <c r="AC123" s="73"/>
      <c r="AD123" s="73"/>
      <c r="AE123" s="73"/>
      <c r="AF123" s="314">
        <f t="shared" si="56"/>
        <v>0</v>
      </c>
      <c r="AG123" s="73"/>
      <c r="AH123" s="73"/>
      <c r="AI123" s="73"/>
      <c r="AJ123" s="73"/>
      <c r="AK123" s="321">
        <f t="shared" si="57"/>
        <v>0</v>
      </c>
      <c r="AL123" s="73"/>
      <c r="AM123" s="291"/>
    </row>
    <row r="124" spans="1:39" hidden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205"/>
      <c r="L124" s="73"/>
      <c r="M124" s="73"/>
      <c r="N124" s="73"/>
      <c r="O124" s="73"/>
      <c r="P124" s="73"/>
      <c r="Q124" s="150"/>
      <c r="R124" s="73"/>
      <c r="S124" s="205"/>
      <c r="T124" s="73"/>
      <c r="U124" s="76"/>
      <c r="V124" s="73"/>
      <c r="W124" s="76"/>
      <c r="X124" s="321">
        <f t="shared" si="53"/>
        <v>0</v>
      </c>
      <c r="Y124" s="321"/>
      <c r="Z124" s="321">
        <f t="shared" si="54"/>
        <v>0</v>
      </c>
      <c r="AA124" s="321">
        <f t="shared" si="55"/>
        <v>0</v>
      </c>
      <c r="AB124" s="321" t="e">
        <f t="shared" si="50"/>
        <v>#DIV/0!</v>
      </c>
      <c r="AC124" s="73"/>
      <c r="AD124" s="73"/>
      <c r="AE124" s="73"/>
      <c r="AF124" s="314">
        <f t="shared" si="56"/>
        <v>0</v>
      </c>
      <c r="AG124" s="73"/>
      <c r="AH124" s="73"/>
      <c r="AI124" s="73"/>
      <c r="AJ124" s="73"/>
      <c r="AK124" s="321">
        <f t="shared" si="57"/>
        <v>0</v>
      </c>
      <c r="AL124" s="73"/>
      <c r="AM124" s="291"/>
    </row>
    <row r="125" spans="1:39" hidden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205"/>
      <c r="L125" s="73"/>
      <c r="M125" s="73"/>
      <c r="N125" s="73"/>
      <c r="O125" s="73"/>
      <c r="P125" s="73"/>
      <c r="Q125" s="150"/>
      <c r="R125" s="73"/>
      <c r="S125" s="205"/>
      <c r="T125" s="73"/>
      <c r="U125" s="76"/>
      <c r="V125" s="73"/>
      <c r="W125" s="76"/>
      <c r="X125" s="321">
        <f t="shared" si="53"/>
        <v>0</v>
      </c>
      <c r="Y125" s="321"/>
      <c r="Z125" s="321">
        <f t="shared" si="54"/>
        <v>0</v>
      </c>
      <c r="AA125" s="321">
        <f t="shared" si="55"/>
        <v>0</v>
      </c>
      <c r="AB125" s="321" t="e">
        <f t="shared" si="50"/>
        <v>#DIV/0!</v>
      </c>
      <c r="AC125" s="73"/>
      <c r="AD125" s="73"/>
      <c r="AE125" s="73"/>
      <c r="AF125" s="314">
        <f t="shared" si="56"/>
        <v>0</v>
      </c>
      <c r="AG125" s="73"/>
      <c r="AH125" s="73"/>
      <c r="AI125" s="73"/>
      <c r="AJ125" s="73"/>
      <c r="AK125" s="321">
        <f t="shared" si="57"/>
        <v>0</v>
      </c>
      <c r="AL125" s="73"/>
      <c r="AM125" s="291"/>
    </row>
    <row r="126" spans="1:39" hidden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205"/>
      <c r="L126" s="73"/>
      <c r="M126" s="73"/>
      <c r="N126" s="73"/>
      <c r="O126" s="73"/>
      <c r="P126" s="73"/>
      <c r="Q126" s="150"/>
      <c r="R126" s="73"/>
      <c r="S126" s="205"/>
      <c r="T126" s="73"/>
      <c r="U126" s="76"/>
      <c r="V126" s="73"/>
      <c r="W126" s="76"/>
      <c r="X126" s="321">
        <f t="shared" si="53"/>
        <v>0</v>
      </c>
      <c r="Y126" s="321"/>
      <c r="Z126" s="321">
        <f t="shared" si="54"/>
        <v>0</v>
      </c>
      <c r="AA126" s="321">
        <f t="shared" si="55"/>
        <v>0</v>
      </c>
      <c r="AB126" s="321" t="e">
        <f t="shared" si="50"/>
        <v>#DIV/0!</v>
      </c>
      <c r="AC126" s="73"/>
      <c r="AD126" s="73"/>
      <c r="AE126" s="73"/>
      <c r="AF126" s="314">
        <f t="shared" si="56"/>
        <v>0</v>
      </c>
      <c r="AG126" s="73"/>
      <c r="AH126" s="73"/>
      <c r="AI126" s="73"/>
      <c r="AJ126" s="73"/>
      <c r="AK126" s="321">
        <f t="shared" si="57"/>
        <v>0</v>
      </c>
      <c r="AL126" s="73"/>
      <c r="AM126" s="291"/>
    </row>
    <row r="127" spans="1:39" hidden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205"/>
      <c r="L127" s="73"/>
      <c r="M127" s="73"/>
      <c r="N127" s="73"/>
      <c r="O127" s="73"/>
      <c r="P127" s="73"/>
      <c r="Q127" s="150"/>
      <c r="R127" s="73"/>
      <c r="S127" s="205"/>
      <c r="T127" s="73"/>
      <c r="U127" s="76"/>
      <c r="V127" s="73"/>
      <c r="W127" s="76"/>
      <c r="X127" s="321">
        <f t="shared" si="53"/>
        <v>0</v>
      </c>
      <c r="Y127" s="321"/>
      <c r="Z127" s="321">
        <f t="shared" si="54"/>
        <v>0</v>
      </c>
      <c r="AA127" s="321">
        <f t="shared" si="55"/>
        <v>0</v>
      </c>
      <c r="AB127" s="321" t="e">
        <f t="shared" si="50"/>
        <v>#DIV/0!</v>
      </c>
      <c r="AC127" s="73"/>
      <c r="AD127" s="73"/>
      <c r="AE127" s="73"/>
      <c r="AF127" s="314">
        <f t="shared" si="56"/>
        <v>0</v>
      </c>
      <c r="AG127" s="73"/>
      <c r="AH127" s="73"/>
      <c r="AI127" s="73"/>
      <c r="AJ127" s="73"/>
      <c r="AK127" s="321">
        <f t="shared" si="57"/>
        <v>0</v>
      </c>
      <c r="AL127" s="73"/>
      <c r="AM127" s="291"/>
    </row>
    <row r="128" spans="1:39" hidden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205"/>
      <c r="L128" s="73"/>
      <c r="M128" s="73"/>
      <c r="N128" s="73"/>
      <c r="O128" s="73"/>
      <c r="P128" s="73"/>
      <c r="Q128" s="150"/>
      <c r="R128" s="73"/>
      <c r="S128" s="205"/>
      <c r="T128" s="73"/>
      <c r="U128" s="76"/>
      <c r="V128" s="73"/>
      <c r="W128" s="76"/>
      <c r="X128" s="321">
        <f t="shared" si="53"/>
        <v>0</v>
      </c>
      <c r="Y128" s="321"/>
      <c r="Z128" s="321">
        <f t="shared" si="54"/>
        <v>0</v>
      </c>
      <c r="AA128" s="321">
        <f t="shared" si="55"/>
        <v>0</v>
      </c>
      <c r="AB128" s="321" t="e">
        <f t="shared" si="50"/>
        <v>#DIV/0!</v>
      </c>
      <c r="AC128" s="73"/>
      <c r="AD128" s="73"/>
      <c r="AE128" s="73"/>
      <c r="AF128" s="314">
        <f t="shared" si="56"/>
        <v>0</v>
      </c>
      <c r="AG128" s="73"/>
      <c r="AH128" s="73"/>
      <c r="AI128" s="73"/>
      <c r="AJ128" s="73"/>
      <c r="AK128" s="321">
        <f t="shared" si="57"/>
        <v>0</v>
      </c>
      <c r="AL128" s="73"/>
      <c r="AM128" s="291"/>
    </row>
    <row r="129" spans="1:39" hidden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205"/>
      <c r="L129" s="73"/>
      <c r="M129" s="73"/>
      <c r="N129" s="73"/>
      <c r="O129" s="73"/>
      <c r="P129" s="73"/>
      <c r="Q129" s="150"/>
      <c r="R129" s="73"/>
      <c r="S129" s="205"/>
      <c r="T129" s="73"/>
      <c r="U129" s="76"/>
      <c r="V129" s="73"/>
      <c r="W129" s="76"/>
      <c r="X129" s="321">
        <f t="shared" si="53"/>
        <v>0</v>
      </c>
      <c r="Y129" s="321"/>
      <c r="Z129" s="321">
        <f t="shared" si="54"/>
        <v>0</v>
      </c>
      <c r="AA129" s="321">
        <f t="shared" si="55"/>
        <v>0</v>
      </c>
      <c r="AB129" s="321" t="e">
        <f t="shared" si="50"/>
        <v>#DIV/0!</v>
      </c>
      <c r="AC129" s="73"/>
      <c r="AD129" s="73"/>
      <c r="AE129" s="73"/>
      <c r="AF129" s="314">
        <f t="shared" si="56"/>
        <v>0</v>
      </c>
      <c r="AG129" s="73"/>
      <c r="AH129" s="73"/>
      <c r="AI129" s="73"/>
      <c r="AJ129" s="73"/>
      <c r="AK129" s="321">
        <f t="shared" si="57"/>
        <v>0</v>
      </c>
      <c r="AL129" s="73"/>
      <c r="AM129" s="291"/>
    </row>
    <row r="130" spans="1:39" hidden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205"/>
      <c r="L130" s="73"/>
      <c r="M130" s="73"/>
      <c r="N130" s="73"/>
      <c r="O130" s="73"/>
      <c r="P130" s="73"/>
      <c r="Q130" s="150"/>
      <c r="R130" s="73"/>
      <c r="S130" s="205"/>
      <c r="T130" s="73"/>
      <c r="U130" s="76"/>
      <c r="V130" s="73"/>
      <c r="W130" s="76"/>
      <c r="X130" s="321">
        <f t="shared" si="53"/>
        <v>0</v>
      </c>
      <c r="Y130" s="321"/>
      <c r="Z130" s="321">
        <f t="shared" si="54"/>
        <v>0</v>
      </c>
      <c r="AA130" s="321">
        <f t="shared" si="55"/>
        <v>0</v>
      </c>
      <c r="AB130" s="321" t="e">
        <f t="shared" si="50"/>
        <v>#DIV/0!</v>
      </c>
      <c r="AC130" s="73"/>
      <c r="AD130" s="73"/>
      <c r="AE130" s="73"/>
      <c r="AF130" s="314">
        <f t="shared" si="56"/>
        <v>0</v>
      </c>
      <c r="AG130" s="73"/>
      <c r="AH130" s="73"/>
      <c r="AI130" s="73"/>
      <c r="AJ130" s="73"/>
      <c r="AK130" s="321">
        <f t="shared" si="57"/>
        <v>0</v>
      </c>
      <c r="AL130" s="73"/>
      <c r="AM130" s="291"/>
    </row>
    <row r="131" spans="1:39" hidden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205"/>
      <c r="L131" s="73"/>
      <c r="M131" s="73"/>
      <c r="N131" s="73"/>
      <c r="O131" s="73"/>
      <c r="P131" s="73"/>
      <c r="Q131" s="150"/>
      <c r="R131" s="73"/>
      <c r="S131" s="205"/>
      <c r="T131" s="73"/>
      <c r="U131" s="76"/>
      <c r="V131" s="73"/>
      <c r="W131" s="76"/>
      <c r="X131" s="321">
        <f t="shared" si="53"/>
        <v>0</v>
      </c>
      <c r="Y131" s="321"/>
      <c r="Z131" s="321">
        <f t="shared" si="54"/>
        <v>0</v>
      </c>
      <c r="AA131" s="321">
        <f t="shared" si="55"/>
        <v>0</v>
      </c>
      <c r="AB131" s="321" t="e">
        <f t="shared" si="50"/>
        <v>#DIV/0!</v>
      </c>
      <c r="AC131" s="73"/>
      <c r="AD131" s="73"/>
      <c r="AE131" s="73"/>
      <c r="AF131" s="314">
        <f t="shared" si="56"/>
        <v>0</v>
      </c>
      <c r="AG131" s="73"/>
      <c r="AH131" s="73"/>
      <c r="AI131" s="73"/>
      <c r="AJ131" s="73"/>
      <c r="AK131" s="321">
        <f t="shared" si="57"/>
        <v>0</v>
      </c>
      <c r="AL131" s="73"/>
      <c r="AM131" s="291"/>
    </row>
    <row r="132" spans="1:39" hidden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205"/>
      <c r="L132" s="73"/>
      <c r="M132" s="73"/>
      <c r="N132" s="73"/>
      <c r="O132" s="73"/>
      <c r="P132" s="73"/>
      <c r="Q132" s="150"/>
      <c r="R132" s="73"/>
      <c r="S132" s="205"/>
      <c r="T132" s="73"/>
      <c r="U132" s="76"/>
      <c r="V132" s="73"/>
      <c r="W132" s="76"/>
      <c r="X132" s="321">
        <f t="shared" si="53"/>
        <v>0</v>
      </c>
      <c r="Y132" s="321"/>
      <c r="Z132" s="321">
        <f t="shared" si="54"/>
        <v>0</v>
      </c>
      <c r="AA132" s="321">
        <f t="shared" si="55"/>
        <v>0</v>
      </c>
      <c r="AB132" s="321" t="e">
        <f t="shared" si="50"/>
        <v>#DIV/0!</v>
      </c>
      <c r="AC132" s="73"/>
      <c r="AD132" s="73"/>
      <c r="AE132" s="73"/>
      <c r="AF132" s="314">
        <f t="shared" si="56"/>
        <v>0</v>
      </c>
      <c r="AG132" s="73"/>
      <c r="AH132" s="73"/>
      <c r="AI132" s="73"/>
      <c r="AJ132" s="73"/>
      <c r="AK132" s="321">
        <f t="shared" si="57"/>
        <v>0</v>
      </c>
      <c r="AL132" s="73"/>
      <c r="AM132" s="291"/>
    </row>
    <row r="133" spans="1:39" hidden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205"/>
      <c r="L133" s="73"/>
      <c r="M133" s="73"/>
      <c r="N133" s="73"/>
      <c r="O133" s="73"/>
      <c r="P133" s="73"/>
      <c r="Q133" s="150"/>
      <c r="R133" s="73"/>
      <c r="S133" s="205"/>
      <c r="T133" s="73"/>
      <c r="U133" s="76"/>
      <c r="V133" s="73"/>
      <c r="W133" s="76"/>
      <c r="X133" s="321">
        <f t="shared" si="53"/>
        <v>0</v>
      </c>
      <c r="Y133" s="321"/>
      <c r="Z133" s="321">
        <f t="shared" si="54"/>
        <v>0</v>
      </c>
      <c r="AA133" s="321">
        <f t="shared" si="55"/>
        <v>0</v>
      </c>
      <c r="AB133" s="321" t="e">
        <f t="shared" si="50"/>
        <v>#DIV/0!</v>
      </c>
      <c r="AC133" s="73"/>
      <c r="AD133" s="73"/>
      <c r="AE133" s="73"/>
      <c r="AF133" s="314">
        <f t="shared" si="56"/>
        <v>0</v>
      </c>
      <c r="AG133" s="73"/>
      <c r="AH133" s="73"/>
      <c r="AI133" s="73"/>
      <c r="AJ133" s="73"/>
      <c r="AK133" s="321">
        <f t="shared" si="57"/>
        <v>0</v>
      </c>
      <c r="AL133" s="73"/>
      <c r="AM133" s="291"/>
    </row>
    <row r="134" spans="1:39" hidden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205"/>
      <c r="L134" s="73"/>
      <c r="M134" s="73"/>
      <c r="N134" s="73"/>
      <c r="O134" s="73"/>
      <c r="P134" s="73"/>
      <c r="Q134" s="150"/>
      <c r="R134" s="73"/>
      <c r="S134" s="205"/>
      <c r="T134" s="73"/>
      <c r="U134" s="76"/>
      <c r="V134" s="73"/>
      <c r="W134" s="76"/>
      <c r="X134" s="321">
        <f t="shared" si="53"/>
        <v>0</v>
      </c>
      <c r="Y134" s="321"/>
      <c r="Z134" s="321">
        <f t="shared" si="54"/>
        <v>0</v>
      </c>
      <c r="AA134" s="321">
        <f t="shared" si="55"/>
        <v>0</v>
      </c>
      <c r="AB134" s="321" t="e">
        <f t="shared" si="50"/>
        <v>#DIV/0!</v>
      </c>
      <c r="AC134" s="73"/>
      <c r="AD134" s="73"/>
      <c r="AE134" s="73"/>
      <c r="AF134" s="314">
        <f t="shared" si="56"/>
        <v>0</v>
      </c>
      <c r="AG134" s="73"/>
      <c r="AH134" s="73"/>
      <c r="AI134" s="73"/>
      <c r="AJ134" s="73"/>
      <c r="AK134" s="321">
        <f t="shared" si="57"/>
        <v>0</v>
      </c>
      <c r="AL134" s="73"/>
      <c r="AM134" s="291"/>
    </row>
    <row r="135" spans="1:39" hidden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205"/>
      <c r="L135" s="73"/>
      <c r="M135" s="73"/>
      <c r="N135" s="73"/>
      <c r="O135" s="73"/>
      <c r="P135" s="73"/>
      <c r="Q135" s="150"/>
      <c r="R135" s="73"/>
      <c r="S135" s="205"/>
      <c r="T135" s="73"/>
      <c r="U135" s="76"/>
      <c r="V135" s="73"/>
      <c r="W135" s="76"/>
      <c r="X135" s="321">
        <f t="shared" si="53"/>
        <v>0</v>
      </c>
      <c r="Y135" s="321"/>
      <c r="Z135" s="321">
        <f t="shared" si="54"/>
        <v>0</v>
      </c>
      <c r="AA135" s="321">
        <f t="shared" si="55"/>
        <v>0</v>
      </c>
      <c r="AB135" s="321" t="e">
        <f t="shared" si="50"/>
        <v>#DIV/0!</v>
      </c>
      <c r="AC135" s="73"/>
      <c r="AD135" s="73"/>
      <c r="AE135" s="73"/>
      <c r="AF135" s="314">
        <f t="shared" si="56"/>
        <v>0</v>
      </c>
      <c r="AG135" s="73"/>
      <c r="AH135" s="73"/>
      <c r="AI135" s="73"/>
      <c r="AJ135" s="73"/>
      <c r="AK135" s="321">
        <f t="shared" si="57"/>
        <v>0</v>
      </c>
      <c r="AL135" s="73"/>
      <c r="AM135" s="291"/>
    </row>
    <row r="136" spans="1:39" hidden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205"/>
      <c r="L136" s="73"/>
      <c r="M136" s="73"/>
      <c r="N136" s="73"/>
      <c r="O136" s="73"/>
      <c r="P136" s="73"/>
      <c r="Q136" s="150"/>
      <c r="R136" s="73"/>
      <c r="S136" s="205"/>
      <c r="T136" s="73"/>
      <c r="U136" s="76"/>
      <c r="V136" s="73"/>
      <c r="W136" s="76"/>
      <c r="X136" s="321">
        <f t="shared" si="53"/>
        <v>0</v>
      </c>
      <c r="Y136" s="321"/>
      <c r="Z136" s="321">
        <f t="shared" si="54"/>
        <v>0</v>
      </c>
      <c r="AA136" s="321">
        <f t="shared" si="55"/>
        <v>0</v>
      </c>
      <c r="AB136" s="321" t="e">
        <f t="shared" si="50"/>
        <v>#DIV/0!</v>
      </c>
      <c r="AC136" s="73"/>
      <c r="AD136" s="73"/>
      <c r="AE136" s="73"/>
      <c r="AF136" s="314">
        <f t="shared" si="56"/>
        <v>0</v>
      </c>
      <c r="AG136" s="73"/>
      <c r="AH136" s="73"/>
      <c r="AI136" s="73"/>
      <c r="AJ136" s="73"/>
      <c r="AK136" s="321">
        <f t="shared" si="57"/>
        <v>0</v>
      </c>
      <c r="AL136" s="73"/>
      <c r="AM136" s="291"/>
    </row>
    <row r="137" spans="1:39" hidden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205"/>
      <c r="L137" s="73"/>
      <c r="M137" s="73"/>
      <c r="N137" s="73"/>
      <c r="O137" s="73"/>
      <c r="P137" s="73"/>
      <c r="Q137" s="150"/>
      <c r="R137" s="73"/>
      <c r="S137" s="205"/>
      <c r="T137" s="73"/>
      <c r="U137" s="76"/>
      <c r="V137" s="73"/>
      <c r="W137" s="76"/>
      <c r="X137" s="321">
        <f t="shared" si="53"/>
        <v>0</v>
      </c>
      <c r="Y137" s="321"/>
      <c r="Z137" s="321">
        <f t="shared" si="54"/>
        <v>0</v>
      </c>
      <c r="AA137" s="321">
        <f t="shared" si="55"/>
        <v>0</v>
      </c>
      <c r="AB137" s="321" t="e">
        <f t="shared" si="50"/>
        <v>#DIV/0!</v>
      </c>
      <c r="AC137" s="73"/>
      <c r="AD137" s="73"/>
      <c r="AE137" s="73"/>
      <c r="AF137" s="314">
        <f t="shared" si="56"/>
        <v>0</v>
      </c>
      <c r="AG137" s="73"/>
      <c r="AH137" s="73"/>
      <c r="AI137" s="73"/>
      <c r="AJ137" s="73"/>
      <c r="AK137" s="321">
        <f t="shared" si="57"/>
        <v>0</v>
      </c>
      <c r="AL137" s="73"/>
      <c r="AM137" s="291"/>
    </row>
    <row r="138" spans="1:39" hidden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205"/>
      <c r="L138" s="73"/>
      <c r="M138" s="73"/>
      <c r="N138" s="73"/>
      <c r="O138" s="73"/>
      <c r="P138" s="73"/>
      <c r="Q138" s="150"/>
      <c r="R138" s="73"/>
      <c r="S138" s="205"/>
      <c r="T138" s="73"/>
      <c r="U138" s="76"/>
      <c r="V138" s="73"/>
      <c r="W138" s="76"/>
      <c r="X138" s="321">
        <f t="shared" si="53"/>
        <v>0</v>
      </c>
      <c r="Y138" s="321"/>
      <c r="Z138" s="321">
        <f t="shared" si="54"/>
        <v>0</v>
      </c>
      <c r="AA138" s="321">
        <f t="shared" si="55"/>
        <v>0</v>
      </c>
      <c r="AB138" s="321" t="e">
        <f t="shared" si="50"/>
        <v>#DIV/0!</v>
      </c>
      <c r="AC138" s="73"/>
      <c r="AD138" s="73"/>
      <c r="AE138" s="73"/>
      <c r="AF138" s="314">
        <f t="shared" si="56"/>
        <v>0</v>
      </c>
      <c r="AG138" s="73"/>
      <c r="AH138" s="73"/>
      <c r="AI138" s="73"/>
      <c r="AJ138" s="73"/>
      <c r="AK138" s="321">
        <f t="shared" si="57"/>
        <v>0</v>
      </c>
      <c r="AL138" s="73"/>
      <c r="AM138" s="291"/>
    </row>
    <row r="139" spans="1:39" hidden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205"/>
      <c r="L139" s="73"/>
      <c r="M139" s="73"/>
      <c r="N139" s="73"/>
      <c r="O139" s="73"/>
      <c r="P139" s="73"/>
      <c r="Q139" s="150"/>
      <c r="R139" s="73"/>
      <c r="S139" s="205"/>
      <c r="T139" s="73"/>
      <c r="U139" s="76"/>
      <c r="V139" s="73"/>
      <c r="W139" s="76"/>
      <c r="X139" s="321">
        <f t="shared" si="53"/>
        <v>0</v>
      </c>
      <c r="Y139" s="321"/>
      <c r="Z139" s="321">
        <f t="shared" si="54"/>
        <v>0</v>
      </c>
      <c r="AA139" s="321">
        <f t="shared" si="55"/>
        <v>0</v>
      </c>
      <c r="AB139" s="321" t="e">
        <f t="shared" si="50"/>
        <v>#DIV/0!</v>
      </c>
      <c r="AC139" s="73"/>
      <c r="AD139" s="73"/>
      <c r="AE139" s="73"/>
      <c r="AF139" s="314">
        <f t="shared" si="56"/>
        <v>0</v>
      </c>
      <c r="AG139" s="73"/>
      <c r="AH139" s="73"/>
      <c r="AI139" s="73"/>
      <c r="AJ139" s="73"/>
      <c r="AK139" s="321">
        <f t="shared" si="57"/>
        <v>0</v>
      </c>
      <c r="AL139" s="73"/>
      <c r="AM139" s="291"/>
    </row>
    <row r="140" spans="1:39" hidden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205"/>
      <c r="L140" s="73"/>
      <c r="M140" s="73"/>
      <c r="N140" s="73"/>
      <c r="O140" s="73"/>
      <c r="P140" s="73"/>
      <c r="Q140" s="150"/>
      <c r="R140" s="73"/>
      <c r="S140" s="205"/>
      <c r="T140" s="73"/>
      <c r="U140" s="76"/>
      <c r="V140" s="73"/>
      <c r="W140" s="76"/>
      <c r="X140" s="321">
        <f t="shared" si="53"/>
        <v>0</v>
      </c>
      <c r="Y140" s="321"/>
      <c r="Z140" s="321">
        <f t="shared" si="54"/>
        <v>0</v>
      </c>
      <c r="AA140" s="321">
        <f t="shared" si="55"/>
        <v>0</v>
      </c>
      <c r="AB140" s="321" t="e">
        <f t="shared" si="50"/>
        <v>#DIV/0!</v>
      </c>
      <c r="AC140" s="73"/>
      <c r="AD140" s="73"/>
      <c r="AE140" s="73"/>
      <c r="AF140" s="314">
        <f t="shared" si="56"/>
        <v>0</v>
      </c>
      <c r="AG140" s="73"/>
      <c r="AH140" s="73"/>
      <c r="AI140" s="73"/>
      <c r="AJ140" s="73"/>
      <c r="AK140" s="321">
        <f t="shared" si="57"/>
        <v>0</v>
      </c>
      <c r="AL140" s="73"/>
      <c r="AM140" s="291"/>
    </row>
    <row r="141" spans="1:39" hidden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205"/>
      <c r="L141" s="73"/>
      <c r="M141" s="73"/>
      <c r="N141" s="73"/>
      <c r="O141" s="73"/>
      <c r="P141" s="73"/>
      <c r="Q141" s="150"/>
      <c r="R141" s="73"/>
      <c r="S141" s="205"/>
      <c r="T141" s="73"/>
      <c r="U141" s="76"/>
      <c r="V141" s="73"/>
      <c r="W141" s="76"/>
      <c r="X141" s="321">
        <f t="shared" si="53"/>
        <v>0</v>
      </c>
      <c r="Y141" s="321"/>
      <c r="Z141" s="321">
        <f t="shared" si="54"/>
        <v>0</v>
      </c>
      <c r="AA141" s="321">
        <f t="shared" si="55"/>
        <v>0</v>
      </c>
      <c r="AB141" s="321" t="e">
        <f t="shared" si="50"/>
        <v>#DIV/0!</v>
      </c>
      <c r="AC141" s="73"/>
      <c r="AD141" s="73"/>
      <c r="AE141" s="73"/>
      <c r="AF141" s="314">
        <f t="shared" si="56"/>
        <v>0</v>
      </c>
      <c r="AG141" s="73"/>
      <c r="AH141" s="73"/>
      <c r="AI141" s="73"/>
      <c r="AJ141" s="73"/>
      <c r="AK141" s="321">
        <f t="shared" si="57"/>
        <v>0</v>
      </c>
      <c r="AL141" s="73"/>
      <c r="AM141" s="291"/>
    </row>
    <row r="142" spans="1:39" hidden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205"/>
      <c r="L142" s="73"/>
      <c r="M142" s="73"/>
      <c r="N142" s="73"/>
      <c r="O142" s="73"/>
      <c r="P142" s="73"/>
      <c r="Q142" s="150"/>
      <c r="R142" s="73"/>
      <c r="S142" s="205"/>
      <c r="T142" s="73"/>
      <c r="U142" s="76"/>
      <c r="V142" s="73"/>
      <c r="W142" s="76"/>
      <c r="X142" s="321">
        <f t="shared" si="53"/>
        <v>0</v>
      </c>
      <c r="Y142" s="321"/>
      <c r="Z142" s="321">
        <f t="shared" si="54"/>
        <v>0</v>
      </c>
      <c r="AA142" s="321">
        <f t="shared" ref="AA142:AA205" si="60">SUM(X142:Z142)</f>
        <v>0</v>
      </c>
      <c r="AB142" s="321" t="e">
        <f t="shared" ref="AB142:AB205" si="61">AA142*100/Q142</f>
        <v>#DIV/0!</v>
      </c>
      <c r="AC142" s="73"/>
      <c r="AD142" s="73"/>
      <c r="AE142" s="73"/>
      <c r="AF142" s="314">
        <f t="shared" si="56"/>
        <v>0</v>
      </c>
      <c r="AG142" s="73"/>
      <c r="AH142" s="73"/>
      <c r="AI142" s="73"/>
      <c r="AJ142" s="73"/>
      <c r="AK142" s="321">
        <f t="shared" si="57"/>
        <v>0</v>
      </c>
      <c r="AL142" s="73"/>
      <c r="AM142" s="291"/>
    </row>
    <row r="143" spans="1:39" hidden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205"/>
      <c r="L143" s="73"/>
      <c r="M143" s="73"/>
      <c r="N143" s="73"/>
      <c r="O143" s="73"/>
      <c r="P143" s="73"/>
      <c r="Q143" s="150"/>
      <c r="R143" s="73"/>
      <c r="S143" s="205"/>
      <c r="T143" s="73"/>
      <c r="U143" s="76"/>
      <c r="V143" s="73"/>
      <c r="W143" s="76"/>
      <c r="X143" s="321">
        <f t="shared" ref="X143:X206" si="62">AC143+AI143</f>
        <v>0</v>
      </c>
      <c r="Y143" s="321"/>
      <c r="Z143" s="321">
        <f t="shared" ref="Z143:Z206" si="63">AE143+AJ143</f>
        <v>0</v>
      </c>
      <c r="AA143" s="321">
        <f t="shared" si="60"/>
        <v>0</v>
      </c>
      <c r="AB143" s="321" t="e">
        <f t="shared" si="61"/>
        <v>#DIV/0!</v>
      </c>
      <c r="AC143" s="73"/>
      <c r="AD143" s="73"/>
      <c r="AE143" s="73"/>
      <c r="AF143" s="314">
        <f t="shared" ref="AF143:AF206" si="64">AE143+AC143</f>
        <v>0</v>
      </c>
      <c r="AG143" s="73"/>
      <c r="AH143" s="73"/>
      <c r="AI143" s="73"/>
      <c r="AJ143" s="73"/>
      <c r="AK143" s="321">
        <f t="shared" ref="AK143:AK206" si="65">AJ143+AI143</f>
        <v>0</v>
      </c>
      <c r="AL143" s="73"/>
      <c r="AM143" s="291"/>
    </row>
    <row r="144" spans="1:39" hidden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205"/>
      <c r="L144" s="73"/>
      <c r="M144" s="73"/>
      <c r="N144" s="73"/>
      <c r="O144" s="73"/>
      <c r="P144" s="73"/>
      <c r="Q144" s="150"/>
      <c r="R144" s="73"/>
      <c r="S144" s="205"/>
      <c r="T144" s="73"/>
      <c r="U144" s="76"/>
      <c r="V144" s="73"/>
      <c r="W144" s="76"/>
      <c r="X144" s="321">
        <f t="shared" si="62"/>
        <v>0</v>
      </c>
      <c r="Y144" s="321"/>
      <c r="Z144" s="321">
        <f t="shared" si="63"/>
        <v>0</v>
      </c>
      <c r="AA144" s="321">
        <f t="shared" si="60"/>
        <v>0</v>
      </c>
      <c r="AB144" s="321" t="e">
        <f t="shared" si="61"/>
        <v>#DIV/0!</v>
      </c>
      <c r="AC144" s="73"/>
      <c r="AD144" s="73"/>
      <c r="AE144" s="73"/>
      <c r="AF144" s="314">
        <f t="shared" si="64"/>
        <v>0</v>
      </c>
      <c r="AG144" s="73"/>
      <c r="AH144" s="73"/>
      <c r="AI144" s="73"/>
      <c r="AJ144" s="73"/>
      <c r="AK144" s="321">
        <f t="shared" si="65"/>
        <v>0</v>
      </c>
      <c r="AL144" s="73"/>
      <c r="AM144" s="291"/>
    </row>
    <row r="145" spans="1:39" hidden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205"/>
      <c r="L145" s="73"/>
      <c r="M145" s="73"/>
      <c r="N145" s="73"/>
      <c r="O145" s="73"/>
      <c r="P145" s="73"/>
      <c r="Q145" s="150"/>
      <c r="R145" s="73"/>
      <c r="S145" s="205"/>
      <c r="T145" s="73"/>
      <c r="U145" s="76"/>
      <c r="V145" s="73"/>
      <c r="W145" s="76"/>
      <c r="X145" s="321">
        <f t="shared" si="62"/>
        <v>0</v>
      </c>
      <c r="Y145" s="321"/>
      <c r="Z145" s="321">
        <f t="shared" si="63"/>
        <v>0</v>
      </c>
      <c r="AA145" s="321">
        <f t="shared" si="60"/>
        <v>0</v>
      </c>
      <c r="AB145" s="321" t="e">
        <f t="shared" si="61"/>
        <v>#DIV/0!</v>
      </c>
      <c r="AC145" s="73"/>
      <c r="AD145" s="73"/>
      <c r="AE145" s="73"/>
      <c r="AF145" s="314">
        <f t="shared" si="64"/>
        <v>0</v>
      </c>
      <c r="AG145" s="73"/>
      <c r="AH145" s="73"/>
      <c r="AI145" s="73"/>
      <c r="AJ145" s="73"/>
      <c r="AK145" s="321">
        <f t="shared" si="65"/>
        <v>0</v>
      </c>
      <c r="AL145" s="73"/>
      <c r="AM145" s="291"/>
    </row>
    <row r="146" spans="1:39" hidden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205"/>
      <c r="L146" s="73"/>
      <c r="M146" s="73"/>
      <c r="N146" s="73"/>
      <c r="O146" s="73"/>
      <c r="P146" s="73"/>
      <c r="Q146" s="150"/>
      <c r="R146" s="73"/>
      <c r="S146" s="205"/>
      <c r="T146" s="73"/>
      <c r="U146" s="76"/>
      <c r="V146" s="73"/>
      <c r="W146" s="76"/>
      <c r="X146" s="321">
        <f t="shared" si="62"/>
        <v>0</v>
      </c>
      <c r="Y146" s="321"/>
      <c r="Z146" s="321">
        <f t="shared" si="63"/>
        <v>0</v>
      </c>
      <c r="AA146" s="321">
        <f t="shared" si="60"/>
        <v>0</v>
      </c>
      <c r="AB146" s="321" t="e">
        <f t="shared" si="61"/>
        <v>#DIV/0!</v>
      </c>
      <c r="AC146" s="73"/>
      <c r="AD146" s="73"/>
      <c r="AE146" s="73"/>
      <c r="AF146" s="314">
        <f t="shared" si="64"/>
        <v>0</v>
      </c>
      <c r="AG146" s="73"/>
      <c r="AH146" s="73"/>
      <c r="AI146" s="73"/>
      <c r="AJ146" s="73"/>
      <c r="AK146" s="321">
        <f t="shared" si="65"/>
        <v>0</v>
      </c>
      <c r="AL146" s="73"/>
      <c r="AM146" s="291"/>
    </row>
    <row r="147" spans="1:39" hidden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205"/>
      <c r="L147" s="73"/>
      <c r="M147" s="73"/>
      <c r="N147" s="73"/>
      <c r="O147" s="73"/>
      <c r="P147" s="73"/>
      <c r="Q147" s="150"/>
      <c r="R147" s="73"/>
      <c r="S147" s="205"/>
      <c r="T147" s="73"/>
      <c r="U147" s="76"/>
      <c r="V147" s="73"/>
      <c r="W147" s="76"/>
      <c r="X147" s="321">
        <f t="shared" si="62"/>
        <v>0</v>
      </c>
      <c r="Y147" s="321"/>
      <c r="Z147" s="321">
        <f t="shared" si="63"/>
        <v>0</v>
      </c>
      <c r="AA147" s="321">
        <f t="shared" si="60"/>
        <v>0</v>
      </c>
      <c r="AB147" s="321" t="e">
        <f t="shared" si="61"/>
        <v>#DIV/0!</v>
      </c>
      <c r="AC147" s="73"/>
      <c r="AD147" s="73"/>
      <c r="AE147" s="73"/>
      <c r="AF147" s="314">
        <f t="shared" si="64"/>
        <v>0</v>
      </c>
      <c r="AG147" s="73"/>
      <c r="AH147" s="73"/>
      <c r="AI147" s="73"/>
      <c r="AJ147" s="73"/>
      <c r="AK147" s="321">
        <f t="shared" si="65"/>
        <v>0</v>
      </c>
      <c r="AL147" s="73"/>
      <c r="AM147" s="291"/>
    </row>
    <row r="148" spans="1:39" hidden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205"/>
      <c r="L148" s="73"/>
      <c r="M148" s="73"/>
      <c r="N148" s="73"/>
      <c r="O148" s="73"/>
      <c r="P148" s="73"/>
      <c r="Q148" s="150"/>
      <c r="R148" s="73"/>
      <c r="S148" s="205"/>
      <c r="T148" s="73"/>
      <c r="U148" s="76"/>
      <c r="V148" s="73"/>
      <c r="W148" s="76"/>
      <c r="X148" s="321">
        <f t="shared" si="62"/>
        <v>0</v>
      </c>
      <c r="Y148" s="321"/>
      <c r="Z148" s="321">
        <f t="shared" si="63"/>
        <v>0</v>
      </c>
      <c r="AA148" s="321">
        <f t="shared" si="60"/>
        <v>0</v>
      </c>
      <c r="AB148" s="321" t="e">
        <f t="shared" si="61"/>
        <v>#DIV/0!</v>
      </c>
      <c r="AC148" s="73"/>
      <c r="AD148" s="73"/>
      <c r="AE148" s="73"/>
      <c r="AF148" s="314">
        <f t="shared" si="64"/>
        <v>0</v>
      </c>
      <c r="AG148" s="73"/>
      <c r="AH148" s="73"/>
      <c r="AI148" s="73"/>
      <c r="AJ148" s="73"/>
      <c r="AK148" s="321">
        <f t="shared" si="65"/>
        <v>0</v>
      </c>
      <c r="AL148" s="73"/>
      <c r="AM148" s="291"/>
    </row>
    <row r="149" spans="1:39" hidden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205"/>
      <c r="L149" s="73"/>
      <c r="M149" s="73"/>
      <c r="N149" s="73"/>
      <c r="O149" s="73"/>
      <c r="P149" s="73"/>
      <c r="Q149" s="150"/>
      <c r="R149" s="73"/>
      <c r="S149" s="205"/>
      <c r="T149" s="73"/>
      <c r="U149" s="76"/>
      <c r="V149" s="73"/>
      <c r="W149" s="76"/>
      <c r="X149" s="321">
        <f t="shared" si="62"/>
        <v>0</v>
      </c>
      <c r="Y149" s="321"/>
      <c r="Z149" s="321">
        <f t="shared" si="63"/>
        <v>0</v>
      </c>
      <c r="AA149" s="321">
        <f t="shared" si="60"/>
        <v>0</v>
      </c>
      <c r="AB149" s="321" t="e">
        <f t="shared" si="61"/>
        <v>#DIV/0!</v>
      </c>
      <c r="AC149" s="73"/>
      <c r="AD149" s="73"/>
      <c r="AE149" s="73"/>
      <c r="AF149" s="314">
        <f t="shared" si="64"/>
        <v>0</v>
      </c>
      <c r="AG149" s="73"/>
      <c r="AH149" s="73"/>
      <c r="AI149" s="73"/>
      <c r="AJ149" s="73"/>
      <c r="AK149" s="321">
        <f t="shared" si="65"/>
        <v>0</v>
      </c>
      <c r="AL149" s="73"/>
      <c r="AM149" s="291"/>
    </row>
    <row r="150" spans="1:39" hidden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205"/>
      <c r="L150" s="73"/>
      <c r="M150" s="73"/>
      <c r="N150" s="73"/>
      <c r="O150" s="73"/>
      <c r="P150" s="73"/>
      <c r="Q150" s="150"/>
      <c r="R150" s="73"/>
      <c r="S150" s="205"/>
      <c r="T150" s="73"/>
      <c r="U150" s="76"/>
      <c r="V150" s="73"/>
      <c r="W150" s="76"/>
      <c r="X150" s="321">
        <f t="shared" si="62"/>
        <v>0</v>
      </c>
      <c r="Y150" s="321"/>
      <c r="Z150" s="321">
        <f t="shared" si="63"/>
        <v>0</v>
      </c>
      <c r="AA150" s="321">
        <f t="shared" si="60"/>
        <v>0</v>
      </c>
      <c r="AB150" s="321" t="e">
        <f t="shared" si="61"/>
        <v>#DIV/0!</v>
      </c>
      <c r="AC150" s="73"/>
      <c r="AD150" s="73"/>
      <c r="AE150" s="73"/>
      <c r="AF150" s="314">
        <f t="shared" si="64"/>
        <v>0</v>
      </c>
      <c r="AG150" s="73"/>
      <c r="AH150" s="73"/>
      <c r="AI150" s="73"/>
      <c r="AJ150" s="73"/>
      <c r="AK150" s="321">
        <f t="shared" si="65"/>
        <v>0</v>
      </c>
      <c r="AL150" s="73"/>
      <c r="AM150" s="291"/>
    </row>
    <row r="151" spans="1:39" hidden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205"/>
      <c r="L151" s="73"/>
      <c r="M151" s="73"/>
      <c r="N151" s="73"/>
      <c r="O151" s="73"/>
      <c r="P151" s="73"/>
      <c r="Q151" s="150"/>
      <c r="R151" s="73"/>
      <c r="S151" s="205"/>
      <c r="T151" s="73"/>
      <c r="U151" s="76"/>
      <c r="V151" s="73"/>
      <c r="W151" s="76"/>
      <c r="X151" s="321">
        <f t="shared" si="62"/>
        <v>0</v>
      </c>
      <c r="Y151" s="321"/>
      <c r="Z151" s="321">
        <f t="shared" si="63"/>
        <v>0</v>
      </c>
      <c r="AA151" s="321">
        <f t="shared" si="60"/>
        <v>0</v>
      </c>
      <c r="AB151" s="321" t="e">
        <f t="shared" si="61"/>
        <v>#DIV/0!</v>
      </c>
      <c r="AC151" s="73"/>
      <c r="AD151" s="73"/>
      <c r="AE151" s="73"/>
      <c r="AF151" s="314">
        <f t="shared" si="64"/>
        <v>0</v>
      </c>
      <c r="AG151" s="73"/>
      <c r="AH151" s="73"/>
      <c r="AI151" s="73"/>
      <c r="AJ151" s="73"/>
      <c r="AK151" s="321">
        <f t="shared" si="65"/>
        <v>0</v>
      </c>
      <c r="AL151" s="73"/>
      <c r="AM151" s="291"/>
    </row>
    <row r="152" spans="1:39" hidden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205"/>
      <c r="L152" s="73"/>
      <c r="M152" s="73"/>
      <c r="N152" s="73"/>
      <c r="O152" s="73"/>
      <c r="P152" s="73"/>
      <c r="Q152" s="150"/>
      <c r="R152" s="73"/>
      <c r="S152" s="205"/>
      <c r="T152" s="73"/>
      <c r="U152" s="76"/>
      <c r="V152" s="73"/>
      <c r="W152" s="76"/>
      <c r="X152" s="321">
        <f t="shared" si="62"/>
        <v>0</v>
      </c>
      <c r="Y152" s="321"/>
      <c r="Z152" s="321">
        <f t="shared" si="63"/>
        <v>0</v>
      </c>
      <c r="AA152" s="321">
        <f t="shared" si="60"/>
        <v>0</v>
      </c>
      <c r="AB152" s="321" t="e">
        <f t="shared" si="61"/>
        <v>#DIV/0!</v>
      </c>
      <c r="AC152" s="73"/>
      <c r="AD152" s="73"/>
      <c r="AE152" s="73"/>
      <c r="AF152" s="314">
        <f t="shared" si="64"/>
        <v>0</v>
      </c>
      <c r="AG152" s="73"/>
      <c r="AH152" s="73"/>
      <c r="AI152" s="73"/>
      <c r="AJ152" s="73"/>
      <c r="AK152" s="321">
        <f t="shared" si="65"/>
        <v>0</v>
      </c>
      <c r="AL152" s="73"/>
      <c r="AM152" s="291"/>
    </row>
    <row r="153" spans="1:39" hidden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205"/>
      <c r="L153" s="73"/>
      <c r="M153" s="73"/>
      <c r="N153" s="73"/>
      <c r="O153" s="73"/>
      <c r="P153" s="73"/>
      <c r="Q153" s="150"/>
      <c r="R153" s="73"/>
      <c r="S153" s="205"/>
      <c r="T153" s="73"/>
      <c r="U153" s="76"/>
      <c r="V153" s="73"/>
      <c r="W153" s="76"/>
      <c r="X153" s="321">
        <f t="shared" si="62"/>
        <v>0</v>
      </c>
      <c r="Y153" s="321"/>
      <c r="Z153" s="321">
        <f t="shared" si="63"/>
        <v>0</v>
      </c>
      <c r="AA153" s="321">
        <f t="shared" si="60"/>
        <v>0</v>
      </c>
      <c r="AB153" s="321" t="e">
        <f t="shared" si="61"/>
        <v>#DIV/0!</v>
      </c>
      <c r="AC153" s="73"/>
      <c r="AD153" s="73"/>
      <c r="AE153" s="73"/>
      <c r="AF153" s="314">
        <f t="shared" si="64"/>
        <v>0</v>
      </c>
      <c r="AG153" s="73"/>
      <c r="AH153" s="73"/>
      <c r="AI153" s="73"/>
      <c r="AJ153" s="73"/>
      <c r="AK153" s="321">
        <f t="shared" si="65"/>
        <v>0</v>
      </c>
      <c r="AL153" s="73"/>
      <c r="AM153" s="291"/>
    </row>
    <row r="154" spans="1:39" hidden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205"/>
      <c r="L154" s="73"/>
      <c r="M154" s="73"/>
      <c r="N154" s="73"/>
      <c r="O154" s="73"/>
      <c r="P154" s="73"/>
      <c r="Q154" s="150"/>
      <c r="R154" s="73"/>
      <c r="S154" s="205"/>
      <c r="T154" s="73"/>
      <c r="U154" s="76"/>
      <c r="V154" s="73"/>
      <c r="W154" s="76"/>
      <c r="X154" s="321">
        <f t="shared" si="62"/>
        <v>0</v>
      </c>
      <c r="Y154" s="321"/>
      <c r="Z154" s="321">
        <f t="shared" si="63"/>
        <v>0</v>
      </c>
      <c r="AA154" s="321">
        <f t="shared" si="60"/>
        <v>0</v>
      </c>
      <c r="AB154" s="321" t="e">
        <f t="shared" si="61"/>
        <v>#DIV/0!</v>
      </c>
      <c r="AC154" s="73"/>
      <c r="AD154" s="73"/>
      <c r="AE154" s="73"/>
      <c r="AF154" s="314">
        <f t="shared" si="64"/>
        <v>0</v>
      </c>
      <c r="AG154" s="73"/>
      <c r="AH154" s="73"/>
      <c r="AI154" s="73"/>
      <c r="AJ154" s="73"/>
      <c r="AK154" s="321">
        <f t="shared" si="65"/>
        <v>0</v>
      </c>
      <c r="AL154" s="73"/>
      <c r="AM154" s="291"/>
    </row>
    <row r="155" spans="1:39" hidden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205"/>
      <c r="L155" s="73"/>
      <c r="M155" s="73"/>
      <c r="N155" s="73"/>
      <c r="O155" s="73"/>
      <c r="P155" s="73"/>
      <c r="Q155" s="150"/>
      <c r="R155" s="73"/>
      <c r="S155" s="205"/>
      <c r="T155" s="73"/>
      <c r="U155" s="76"/>
      <c r="V155" s="73"/>
      <c r="W155" s="76"/>
      <c r="X155" s="321">
        <f t="shared" si="62"/>
        <v>0</v>
      </c>
      <c r="Y155" s="321"/>
      <c r="Z155" s="321">
        <f t="shared" si="63"/>
        <v>0</v>
      </c>
      <c r="AA155" s="321">
        <f t="shared" si="60"/>
        <v>0</v>
      </c>
      <c r="AB155" s="321" t="e">
        <f t="shared" si="61"/>
        <v>#DIV/0!</v>
      </c>
      <c r="AC155" s="73"/>
      <c r="AD155" s="73"/>
      <c r="AE155" s="73"/>
      <c r="AF155" s="314">
        <f t="shared" si="64"/>
        <v>0</v>
      </c>
      <c r="AG155" s="73"/>
      <c r="AH155" s="73"/>
      <c r="AI155" s="73"/>
      <c r="AJ155" s="73"/>
      <c r="AK155" s="321">
        <f t="shared" si="65"/>
        <v>0</v>
      </c>
      <c r="AL155" s="73"/>
      <c r="AM155" s="291"/>
    </row>
    <row r="156" spans="1:39" hidden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205"/>
      <c r="L156" s="73"/>
      <c r="M156" s="73"/>
      <c r="N156" s="73"/>
      <c r="O156" s="73"/>
      <c r="P156" s="73"/>
      <c r="Q156" s="150"/>
      <c r="R156" s="73"/>
      <c r="S156" s="205"/>
      <c r="T156" s="73"/>
      <c r="U156" s="76"/>
      <c r="V156" s="73"/>
      <c r="W156" s="76"/>
      <c r="X156" s="321">
        <f t="shared" si="62"/>
        <v>0</v>
      </c>
      <c r="Y156" s="321"/>
      <c r="Z156" s="321">
        <f t="shared" si="63"/>
        <v>0</v>
      </c>
      <c r="AA156" s="321">
        <f t="shared" si="60"/>
        <v>0</v>
      </c>
      <c r="AB156" s="321" t="e">
        <f t="shared" si="61"/>
        <v>#DIV/0!</v>
      </c>
      <c r="AC156" s="73"/>
      <c r="AD156" s="73"/>
      <c r="AE156" s="73"/>
      <c r="AF156" s="314">
        <f t="shared" si="64"/>
        <v>0</v>
      </c>
      <c r="AG156" s="73"/>
      <c r="AH156" s="73"/>
      <c r="AI156" s="73"/>
      <c r="AJ156" s="73"/>
      <c r="AK156" s="321">
        <f t="shared" si="65"/>
        <v>0</v>
      </c>
      <c r="AL156" s="73"/>
      <c r="AM156" s="291"/>
    </row>
    <row r="157" spans="1:39" hidden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205"/>
      <c r="L157" s="73"/>
      <c r="M157" s="73"/>
      <c r="N157" s="73"/>
      <c r="O157" s="73"/>
      <c r="P157" s="73"/>
      <c r="Q157" s="150"/>
      <c r="R157" s="73"/>
      <c r="S157" s="205"/>
      <c r="T157" s="73"/>
      <c r="U157" s="76"/>
      <c r="V157" s="73"/>
      <c r="W157" s="76"/>
      <c r="X157" s="321">
        <f t="shared" si="62"/>
        <v>0</v>
      </c>
      <c r="Y157" s="321"/>
      <c r="Z157" s="321">
        <f t="shared" si="63"/>
        <v>0</v>
      </c>
      <c r="AA157" s="321">
        <f t="shared" si="60"/>
        <v>0</v>
      </c>
      <c r="AB157" s="321" t="e">
        <f t="shared" si="61"/>
        <v>#DIV/0!</v>
      </c>
      <c r="AC157" s="73"/>
      <c r="AD157" s="73"/>
      <c r="AE157" s="73"/>
      <c r="AF157" s="314">
        <f t="shared" si="64"/>
        <v>0</v>
      </c>
      <c r="AG157" s="73"/>
      <c r="AH157" s="73"/>
      <c r="AI157" s="73"/>
      <c r="AJ157" s="73"/>
      <c r="AK157" s="321">
        <f t="shared" si="65"/>
        <v>0</v>
      </c>
      <c r="AL157" s="73"/>
      <c r="AM157" s="291"/>
    </row>
    <row r="158" spans="1:39" hidden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205"/>
      <c r="L158" s="73"/>
      <c r="M158" s="73"/>
      <c r="N158" s="73"/>
      <c r="O158" s="73"/>
      <c r="P158" s="73"/>
      <c r="Q158" s="150"/>
      <c r="R158" s="73"/>
      <c r="S158" s="205"/>
      <c r="T158" s="73"/>
      <c r="U158" s="76"/>
      <c r="V158" s="73"/>
      <c r="W158" s="76"/>
      <c r="X158" s="321">
        <f t="shared" si="62"/>
        <v>0</v>
      </c>
      <c r="Y158" s="321"/>
      <c r="Z158" s="321">
        <f t="shared" si="63"/>
        <v>0</v>
      </c>
      <c r="AA158" s="321">
        <f t="shared" si="60"/>
        <v>0</v>
      </c>
      <c r="AB158" s="321" t="e">
        <f t="shared" si="61"/>
        <v>#DIV/0!</v>
      </c>
      <c r="AC158" s="73"/>
      <c r="AD158" s="73"/>
      <c r="AE158" s="73"/>
      <c r="AF158" s="314">
        <f t="shared" si="64"/>
        <v>0</v>
      </c>
      <c r="AG158" s="73"/>
      <c r="AH158" s="73"/>
      <c r="AI158" s="73"/>
      <c r="AJ158" s="73"/>
      <c r="AK158" s="321">
        <f t="shared" si="65"/>
        <v>0</v>
      </c>
      <c r="AL158" s="73"/>
      <c r="AM158" s="291"/>
    </row>
    <row r="159" spans="1:39" hidden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205"/>
      <c r="L159" s="73"/>
      <c r="M159" s="73"/>
      <c r="N159" s="73"/>
      <c r="O159" s="73"/>
      <c r="P159" s="73"/>
      <c r="Q159" s="150"/>
      <c r="R159" s="73"/>
      <c r="S159" s="205"/>
      <c r="T159" s="73"/>
      <c r="U159" s="76"/>
      <c r="V159" s="73"/>
      <c r="W159" s="76"/>
      <c r="X159" s="321">
        <f t="shared" si="62"/>
        <v>0</v>
      </c>
      <c r="Y159" s="321"/>
      <c r="Z159" s="321">
        <f t="shared" si="63"/>
        <v>0</v>
      </c>
      <c r="AA159" s="321">
        <f t="shared" si="60"/>
        <v>0</v>
      </c>
      <c r="AB159" s="321" t="e">
        <f t="shared" si="61"/>
        <v>#DIV/0!</v>
      </c>
      <c r="AC159" s="73"/>
      <c r="AD159" s="73"/>
      <c r="AE159" s="73"/>
      <c r="AF159" s="314">
        <f t="shared" si="64"/>
        <v>0</v>
      </c>
      <c r="AG159" s="73"/>
      <c r="AH159" s="73"/>
      <c r="AI159" s="73"/>
      <c r="AJ159" s="73"/>
      <c r="AK159" s="321">
        <f t="shared" si="65"/>
        <v>0</v>
      </c>
      <c r="AL159" s="73"/>
      <c r="AM159" s="291"/>
    </row>
    <row r="160" spans="1:39" hidden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205"/>
      <c r="L160" s="73"/>
      <c r="M160" s="73"/>
      <c r="N160" s="73"/>
      <c r="O160" s="73"/>
      <c r="P160" s="73"/>
      <c r="Q160" s="150"/>
      <c r="R160" s="73"/>
      <c r="S160" s="205"/>
      <c r="T160" s="73"/>
      <c r="U160" s="76"/>
      <c r="V160" s="73"/>
      <c r="W160" s="76"/>
      <c r="X160" s="321">
        <f t="shared" si="62"/>
        <v>0</v>
      </c>
      <c r="Y160" s="321"/>
      <c r="Z160" s="321">
        <f t="shared" si="63"/>
        <v>0</v>
      </c>
      <c r="AA160" s="321">
        <f t="shared" si="60"/>
        <v>0</v>
      </c>
      <c r="AB160" s="321" t="e">
        <f t="shared" si="61"/>
        <v>#DIV/0!</v>
      </c>
      <c r="AC160" s="73"/>
      <c r="AD160" s="73"/>
      <c r="AE160" s="73"/>
      <c r="AF160" s="314">
        <f t="shared" si="64"/>
        <v>0</v>
      </c>
      <c r="AG160" s="73"/>
      <c r="AH160" s="73"/>
      <c r="AI160" s="73"/>
      <c r="AJ160" s="73"/>
      <c r="AK160" s="321">
        <f t="shared" si="65"/>
        <v>0</v>
      </c>
      <c r="AL160" s="73"/>
      <c r="AM160" s="291"/>
    </row>
    <row r="161" spans="1:39" hidden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205"/>
      <c r="L161" s="73"/>
      <c r="M161" s="73"/>
      <c r="N161" s="73"/>
      <c r="O161" s="73"/>
      <c r="P161" s="73"/>
      <c r="Q161" s="150"/>
      <c r="R161" s="73"/>
      <c r="S161" s="205"/>
      <c r="T161" s="73"/>
      <c r="U161" s="76"/>
      <c r="V161" s="73"/>
      <c r="W161" s="76"/>
      <c r="X161" s="321">
        <f t="shared" si="62"/>
        <v>0</v>
      </c>
      <c r="Y161" s="321"/>
      <c r="Z161" s="321">
        <f t="shared" si="63"/>
        <v>0</v>
      </c>
      <c r="AA161" s="321">
        <f t="shared" si="60"/>
        <v>0</v>
      </c>
      <c r="AB161" s="321" t="e">
        <f t="shared" si="61"/>
        <v>#DIV/0!</v>
      </c>
      <c r="AC161" s="73"/>
      <c r="AD161" s="73"/>
      <c r="AE161" s="73"/>
      <c r="AF161" s="314">
        <f t="shared" si="64"/>
        <v>0</v>
      </c>
      <c r="AG161" s="73"/>
      <c r="AH161" s="73"/>
      <c r="AI161" s="73"/>
      <c r="AJ161" s="73"/>
      <c r="AK161" s="321">
        <f t="shared" si="65"/>
        <v>0</v>
      </c>
      <c r="AL161" s="73"/>
      <c r="AM161" s="291"/>
    </row>
    <row r="162" spans="1:39" hidden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205"/>
      <c r="L162" s="73"/>
      <c r="M162" s="73"/>
      <c r="N162" s="73"/>
      <c r="O162" s="73"/>
      <c r="P162" s="73"/>
      <c r="Q162" s="150"/>
      <c r="R162" s="73"/>
      <c r="S162" s="205"/>
      <c r="T162" s="73"/>
      <c r="U162" s="76"/>
      <c r="V162" s="73"/>
      <c r="W162" s="76"/>
      <c r="X162" s="321">
        <f t="shared" si="62"/>
        <v>0</v>
      </c>
      <c r="Y162" s="321"/>
      <c r="Z162" s="321">
        <f t="shared" si="63"/>
        <v>0</v>
      </c>
      <c r="AA162" s="321">
        <f t="shared" si="60"/>
        <v>0</v>
      </c>
      <c r="AB162" s="321" t="e">
        <f t="shared" si="61"/>
        <v>#DIV/0!</v>
      </c>
      <c r="AC162" s="73"/>
      <c r="AD162" s="73"/>
      <c r="AE162" s="73"/>
      <c r="AF162" s="314">
        <f t="shared" si="64"/>
        <v>0</v>
      </c>
      <c r="AG162" s="73"/>
      <c r="AH162" s="73"/>
      <c r="AI162" s="73"/>
      <c r="AJ162" s="73"/>
      <c r="AK162" s="321">
        <f t="shared" si="65"/>
        <v>0</v>
      </c>
      <c r="AL162" s="73"/>
      <c r="AM162" s="291"/>
    </row>
    <row r="163" spans="1:39" hidden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205"/>
      <c r="L163" s="73"/>
      <c r="M163" s="73"/>
      <c r="N163" s="73"/>
      <c r="O163" s="73"/>
      <c r="P163" s="73"/>
      <c r="Q163" s="150"/>
      <c r="R163" s="73"/>
      <c r="S163" s="205"/>
      <c r="T163" s="73"/>
      <c r="U163" s="76"/>
      <c r="V163" s="73"/>
      <c r="W163" s="76"/>
      <c r="X163" s="321">
        <f t="shared" si="62"/>
        <v>0</v>
      </c>
      <c r="Y163" s="321"/>
      <c r="Z163" s="321">
        <f t="shared" si="63"/>
        <v>0</v>
      </c>
      <c r="AA163" s="321">
        <f t="shared" si="60"/>
        <v>0</v>
      </c>
      <c r="AB163" s="321" t="e">
        <f t="shared" si="61"/>
        <v>#DIV/0!</v>
      </c>
      <c r="AC163" s="73"/>
      <c r="AD163" s="73"/>
      <c r="AE163" s="73"/>
      <c r="AF163" s="314">
        <f t="shared" si="64"/>
        <v>0</v>
      </c>
      <c r="AG163" s="73"/>
      <c r="AH163" s="73"/>
      <c r="AI163" s="73"/>
      <c r="AJ163" s="73"/>
      <c r="AK163" s="321">
        <f t="shared" si="65"/>
        <v>0</v>
      </c>
      <c r="AL163" s="73"/>
      <c r="AM163" s="291"/>
    </row>
    <row r="164" spans="1:39" hidden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205"/>
      <c r="L164" s="73"/>
      <c r="M164" s="73"/>
      <c r="N164" s="73"/>
      <c r="O164" s="73"/>
      <c r="P164" s="73"/>
      <c r="Q164" s="150"/>
      <c r="R164" s="73"/>
      <c r="S164" s="205"/>
      <c r="T164" s="73"/>
      <c r="U164" s="76"/>
      <c r="V164" s="73"/>
      <c r="W164" s="76"/>
      <c r="X164" s="321">
        <f t="shared" si="62"/>
        <v>0</v>
      </c>
      <c r="Y164" s="321"/>
      <c r="Z164" s="321">
        <f t="shared" si="63"/>
        <v>0</v>
      </c>
      <c r="AA164" s="321">
        <f t="shared" si="60"/>
        <v>0</v>
      </c>
      <c r="AB164" s="321" t="e">
        <f t="shared" si="61"/>
        <v>#DIV/0!</v>
      </c>
      <c r="AC164" s="73"/>
      <c r="AD164" s="73"/>
      <c r="AE164" s="73"/>
      <c r="AF164" s="314">
        <f t="shared" si="64"/>
        <v>0</v>
      </c>
      <c r="AG164" s="73"/>
      <c r="AH164" s="73"/>
      <c r="AI164" s="73"/>
      <c r="AJ164" s="73"/>
      <c r="AK164" s="321">
        <f t="shared" si="65"/>
        <v>0</v>
      </c>
      <c r="AL164" s="73"/>
      <c r="AM164" s="291"/>
    </row>
    <row r="165" spans="1:39" hidden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205"/>
      <c r="L165" s="73"/>
      <c r="M165" s="73"/>
      <c r="N165" s="73"/>
      <c r="O165" s="73"/>
      <c r="P165" s="73"/>
      <c r="Q165" s="150"/>
      <c r="R165" s="73"/>
      <c r="S165" s="205"/>
      <c r="T165" s="73"/>
      <c r="U165" s="76"/>
      <c r="V165" s="73"/>
      <c r="W165" s="76"/>
      <c r="X165" s="321">
        <f t="shared" si="62"/>
        <v>0</v>
      </c>
      <c r="Y165" s="321"/>
      <c r="Z165" s="321">
        <f t="shared" si="63"/>
        <v>0</v>
      </c>
      <c r="AA165" s="321">
        <f t="shared" si="60"/>
        <v>0</v>
      </c>
      <c r="AB165" s="321" t="e">
        <f t="shared" si="61"/>
        <v>#DIV/0!</v>
      </c>
      <c r="AC165" s="73"/>
      <c r="AD165" s="73"/>
      <c r="AE165" s="73"/>
      <c r="AF165" s="314">
        <f t="shared" si="64"/>
        <v>0</v>
      </c>
      <c r="AG165" s="73"/>
      <c r="AH165" s="73"/>
      <c r="AI165" s="73"/>
      <c r="AJ165" s="73"/>
      <c r="AK165" s="321">
        <f t="shared" si="65"/>
        <v>0</v>
      </c>
      <c r="AL165" s="73"/>
      <c r="AM165" s="291"/>
    </row>
    <row r="166" spans="1:39" hidden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205"/>
      <c r="L166" s="73"/>
      <c r="M166" s="73"/>
      <c r="N166" s="73"/>
      <c r="O166" s="73"/>
      <c r="P166" s="73"/>
      <c r="Q166" s="150"/>
      <c r="R166" s="73"/>
      <c r="S166" s="205"/>
      <c r="T166" s="73"/>
      <c r="U166" s="76"/>
      <c r="V166" s="73"/>
      <c r="W166" s="76"/>
      <c r="X166" s="321">
        <f t="shared" si="62"/>
        <v>0</v>
      </c>
      <c r="Y166" s="321"/>
      <c r="Z166" s="321">
        <f t="shared" si="63"/>
        <v>0</v>
      </c>
      <c r="AA166" s="321">
        <f t="shared" si="60"/>
        <v>0</v>
      </c>
      <c r="AB166" s="321" t="e">
        <f t="shared" si="61"/>
        <v>#DIV/0!</v>
      </c>
      <c r="AC166" s="73"/>
      <c r="AD166" s="73"/>
      <c r="AE166" s="73"/>
      <c r="AF166" s="314">
        <f t="shared" si="64"/>
        <v>0</v>
      </c>
      <c r="AG166" s="73"/>
      <c r="AH166" s="73"/>
      <c r="AI166" s="73"/>
      <c r="AJ166" s="73"/>
      <c r="AK166" s="321">
        <f t="shared" si="65"/>
        <v>0</v>
      </c>
      <c r="AL166" s="73"/>
      <c r="AM166" s="291"/>
    </row>
    <row r="167" spans="1:39" hidden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205"/>
      <c r="L167" s="73"/>
      <c r="M167" s="73"/>
      <c r="N167" s="73"/>
      <c r="O167" s="73"/>
      <c r="P167" s="73"/>
      <c r="Q167" s="150"/>
      <c r="R167" s="73"/>
      <c r="S167" s="205"/>
      <c r="T167" s="73"/>
      <c r="U167" s="76"/>
      <c r="V167" s="73"/>
      <c r="W167" s="76"/>
      <c r="X167" s="321">
        <f t="shared" si="62"/>
        <v>0</v>
      </c>
      <c r="Y167" s="321"/>
      <c r="Z167" s="321">
        <f t="shared" si="63"/>
        <v>0</v>
      </c>
      <c r="AA167" s="321">
        <f t="shared" si="60"/>
        <v>0</v>
      </c>
      <c r="AB167" s="321" t="e">
        <f t="shared" si="61"/>
        <v>#DIV/0!</v>
      </c>
      <c r="AC167" s="73"/>
      <c r="AD167" s="73"/>
      <c r="AE167" s="73"/>
      <c r="AF167" s="314">
        <f t="shared" si="64"/>
        <v>0</v>
      </c>
      <c r="AG167" s="73"/>
      <c r="AH167" s="73"/>
      <c r="AI167" s="73"/>
      <c r="AJ167" s="73"/>
      <c r="AK167" s="321">
        <f t="shared" si="65"/>
        <v>0</v>
      </c>
      <c r="AL167" s="73"/>
      <c r="AM167" s="291"/>
    </row>
    <row r="168" spans="1:39" hidden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205"/>
      <c r="L168" s="73"/>
      <c r="M168" s="73"/>
      <c r="N168" s="73"/>
      <c r="O168" s="73"/>
      <c r="P168" s="73"/>
      <c r="Q168" s="150"/>
      <c r="R168" s="73"/>
      <c r="S168" s="205"/>
      <c r="T168" s="73"/>
      <c r="U168" s="76"/>
      <c r="V168" s="73"/>
      <c r="W168" s="76"/>
      <c r="X168" s="321">
        <f t="shared" si="62"/>
        <v>0</v>
      </c>
      <c r="Y168" s="321"/>
      <c r="Z168" s="321">
        <f t="shared" si="63"/>
        <v>0</v>
      </c>
      <c r="AA168" s="321">
        <f t="shared" si="60"/>
        <v>0</v>
      </c>
      <c r="AB168" s="321" t="e">
        <f t="shared" si="61"/>
        <v>#DIV/0!</v>
      </c>
      <c r="AC168" s="73"/>
      <c r="AD168" s="73"/>
      <c r="AE168" s="73"/>
      <c r="AF168" s="314">
        <f t="shared" si="64"/>
        <v>0</v>
      </c>
      <c r="AG168" s="73"/>
      <c r="AH168" s="73"/>
      <c r="AI168" s="73"/>
      <c r="AJ168" s="73"/>
      <c r="AK168" s="321">
        <f t="shared" si="65"/>
        <v>0</v>
      </c>
      <c r="AL168" s="73"/>
      <c r="AM168" s="291"/>
    </row>
    <row r="169" spans="1:39" hidden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205"/>
      <c r="L169" s="73"/>
      <c r="M169" s="73"/>
      <c r="N169" s="73"/>
      <c r="O169" s="73"/>
      <c r="P169" s="73"/>
      <c r="Q169" s="150"/>
      <c r="R169" s="73"/>
      <c r="S169" s="205"/>
      <c r="T169" s="73"/>
      <c r="U169" s="76"/>
      <c r="V169" s="73"/>
      <c r="W169" s="76"/>
      <c r="X169" s="321">
        <f t="shared" si="62"/>
        <v>0</v>
      </c>
      <c r="Y169" s="321"/>
      <c r="Z169" s="321">
        <f t="shared" si="63"/>
        <v>0</v>
      </c>
      <c r="AA169" s="321">
        <f t="shared" si="60"/>
        <v>0</v>
      </c>
      <c r="AB169" s="321" t="e">
        <f t="shared" si="61"/>
        <v>#DIV/0!</v>
      </c>
      <c r="AC169" s="73"/>
      <c r="AD169" s="73"/>
      <c r="AE169" s="73"/>
      <c r="AF169" s="314">
        <f t="shared" si="64"/>
        <v>0</v>
      </c>
      <c r="AG169" s="73"/>
      <c r="AH169" s="73"/>
      <c r="AI169" s="73"/>
      <c r="AJ169" s="73"/>
      <c r="AK169" s="321">
        <f t="shared" si="65"/>
        <v>0</v>
      </c>
      <c r="AL169" s="73"/>
      <c r="AM169" s="291"/>
    </row>
    <row r="170" spans="1:39" hidden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205"/>
      <c r="L170" s="73"/>
      <c r="M170" s="73"/>
      <c r="N170" s="73"/>
      <c r="O170" s="73"/>
      <c r="P170" s="73"/>
      <c r="Q170" s="150"/>
      <c r="R170" s="73"/>
      <c r="S170" s="205"/>
      <c r="T170" s="73"/>
      <c r="U170" s="76"/>
      <c r="V170" s="73"/>
      <c r="W170" s="76"/>
      <c r="X170" s="321">
        <f t="shared" si="62"/>
        <v>0</v>
      </c>
      <c r="Y170" s="321"/>
      <c r="Z170" s="321">
        <f t="shared" si="63"/>
        <v>0</v>
      </c>
      <c r="AA170" s="321">
        <f t="shared" si="60"/>
        <v>0</v>
      </c>
      <c r="AB170" s="321" t="e">
        <f t="shared" si="61"/>
        <v>#DIV/0!</v>
      </c>
      <c r="AC170" s="73"/>
      <c r="AD170" s="73"/>
      <c r="AE170" s="73"/>
      <c r="AF170" s="314">
        <f t="shared" si="64"/>
        <v>0</v>
      </c>
      <c r="AG170" s="73"/>
      <c r="AH170" s="73"/>
      <c r="AI170" s="73"/>
      <c r="AJ170" s="73"/>
      <c r="AK170" s="321">
        <f t="shared" si="65"/>
        <v>0</v>
      </c>
      <c r="AL170" s="73"/>
      <c r="AM170" s="291"/>
    </row>
    <row r="171" spans="1:39" hidden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205"/>
      <c r="L171" s="73"/>
      <c r="M171" s="73"/>
      <c r="N171" s="73"/>
      <c r="O171" s="73"/>
      <c r="P171" s="73"/>
      <c r="Q171" s="150"/>
      <c r="R171" s="73"/>
      <c r="S171" s="205"/>
      <c r="T171" s="73"/>
      <c r="U171" s="76"/>
      <c r="V171" s="73"/>
      <c r="W171" s="76"/>
      <c r="X171" s="321">
        <f t="shared" si="62"/>
        <v>0</v>
      </c>
      <c r="Y171" s="321"/>
      <c r="Z171" s="321">
        <f t="shared" si="63"/>
        <v>0</v>
      </c>
      <c r="AA171" s="321">
        <f t="shared" si="60"/>
        <v>0</v>
      </c>
      <c r="AB171" s="321" t="e">
        <f t="shared" si="61"/>
        <v>#DIV/0!</v>
      </c>
      <c r="AC171" s="73"/>
      <c r="AD171" s="73"/>
      <c r="AE171" s="73"/>
      <c r="AF171" s="314">
        <f t="shared" si="64"/>
        <v>0</v>
      </c>
      <c r="AG171" s="73"/>
      <c r="AH171" s="73"/>
      <c r="AI171" s="73"/>
      <c r="AJ171" s="73"/>
      <c r="AK171" s="321">
        <f t="shared" si="65"/>
        <v>0</v>
      </c>
      <c r="AL171" s="73"/>
      <c r="AM171" s="291"/>
    </row>
    <row r="172" spans="1:39" hidden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205"/>
      <c r="L172" s="73"/>
      <c r="M172" s="73"/>
      <c r="N172" s="73"/>
      <c r="O172" s="73"/>
      <c r="P172" s="73"/>
      <c r="Q172" s="150"/>
      <c r="R172" s="73"/>
      <c r="S172" s="205"/>
      <c r="T172" s="73"/>
      <c r="U172" s="76"/>
      <c r="V172" s="73"/>
      <c r="W172" s="76"/>
      <c r="X172" s="321">
        <f t="shared" si="62"/>
        <v>0</v>
      </c>
      <c r="Y172" s="321"/>
      <c r="Z172" s="321">
        <f t="shared" si="63"/>
        <v>0</v>
      </c>
      <c r="AA172" s="321">
        <f t="shared" si="60"/>
        <v>0</v>
      </c>
      <c r="AB172" s="321" t="e">
        <f t="shared" si="61"/>
        <v>#DIV/0!</v>
      </c>
      <c r="AC172" s="73"/>
      <c r="AD172" s="73"/>
      <c r="AE172" s="73"/>
      <c r="AF172" s="314">
        <f t="shared" si="64"/>
        <v>0</v>
      </c>
      <c r="AG172" s="73"/>
      <c r="AH172" s="73"/>
      <c r="AI172" s="73"/>
      <c r="AJ172" s="73"/>
      <c r="AK172" s="321">
        <f t="shared" si="65"/>
        <v>0</v>
      </c>
      <c r="AL172" s="73"/>
      <c r="AM172" s="291"/>
    </row>
    <row r="173" spans="1:39" hidden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205"/>
      <c r="L173" s="73"/>
      <c r="M173" s="73"/>
      <c r="N173" s="73"/>
      <c r="O173" s="73"/>
      <c r="P173" s="73"/>
      <c r="Q173" s="150"/>
      <c r="R173" s="73"/>
      <c r="S173" s="205"/>
      <c r="T173" s="73"/>
      <c r="U173" s="76"/>
      <c r="V173" s="73"/>
      <c r="W173" s="76"/>
      <c r="X173" s="321">
        <f t="shared" si="62"/>
        <v>0</v>
      </c>
      <c r="Y173" s="321"/>
      <c r="Z173" s="321">
        <f t="shared" si="63"/>
        <v>0</v>
      </c>
      <c r="AA173" s="321">
        <f t="shared" si="60"/>
        <v>0</v>
      </c>
      <c r="AB173" s="321" t="e">
        <f t="shared" si="61"/>
        <v>#DIV/0!</v>
      </c>
      <c r="AC173" s="73"/>
      <c r="AD173" s="73"/>
      <c r="AE173" s="73"/>
      <c r="AF173" s="314">
        <f t="shared" si="64"/>
        <v>0</v>
      </c>
      <c r="AG173" s="73"/>
      <c r="AH173" s="73"/>
      <c r="AI173" s="73"/>
      <c r="AJ173" s="73"/>
      <c r="AK173" s="321">
        <f t="shared" si="65"/>
        <v>0</v>
      </c>
      <c r="AL173" s="73"/>
      <c r="AM173" s="291"/>
    </row>
    <row r="174" spans="1:39" hidden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205"/>
      <c r="L174" s="73"/>
      <c r="M174" s="73"/>
      <c r="N174" s="73"/>
      <c r="O174" s="73"/>
      <c r="P174" s="73"/>
      <c r="Q174" s="150"/>
      <c r="R174" s="73"/>
      <c r="S174" s="205"/>
      <c r="T174" s="73"/>
      <c r="U174" s="76"/>
      <c r="V174" s="73"/>
      <c r="W174" s="76"/>
      <c r="X174" s="321">
        <f t="shared" si="62"/>
        <v>0</v>
      </c>
      <c r="Y174" s="321"/>
      <c r="Z174" s="321">
        <f t="shared" si="63"/>
        <v>0</v>
      </c>
      <c r="AA174" s="321">
        <f t="shared" si="60"/>
        <v>0</v>
      </c>
      <c r="AB174" s="321" t="e">
        <f t="shared" si="61"/>
        <v>#DIV/0!</v>
      </c>
      <c r="AC174" s="73"/>
      <c r="AD174" s="73"/>
      <c r="AE174" s="73"/>
      <c r="AF174" s="314">
        <f t="shared" si="64"/>
        <v>0</v>
      </c>
      <c r="AG174" s="73"/>
      <c r="AH174" s="73"/>
      <c r="AI174" s="73"/>
      <c r="AJ174" s="73"/>
      <c r="AK174" s="321">
        <f t="shared" si="65"/>
        <v>0</v>
      </c>
      <c r="AL174" s="73"/>
      <c r="AM174" s="291"/>
    </row>
    <row r="175" spans="1:39" hidden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205"/>
      <c r="L175" s="73"/>
      <c r="M175" s="73"/>
      <c r="N175" s="73"/>
      <c r="O175" s="73"/>
      <c r="P175" s="73"/>
      <c r="Q175" s="150"/>
      <c r="R175" s="73"/>
      <c r="S175" s="205"/>
      <c r="T175" s="73"/>
      <c r="U175" s="76"/>
      <c r="V175" s="73"/>
      <c r="W175" s="76"/>
      <c r="X175" s="321">
        <f t="shared" si="62"/>
        <v>0</v>
      </c>
      <c r="Y175" s="321"/>
      <c r="Z175" s="321">
        <f t="shared" si="63"/>
        <v>0</v>
      </c>
      <c r="AA175" s="321">
        <f t="shared" si="60"/>
        <v>0</v>
      </c>
      <c r="AB175" s="321" t="e">
        <f t="shared" si="61"/>
        <v>#DIV/0!</v>
      </c>
      <c r="AC175" s="73"/>
      <c r="AD175" s="73"/>
      <c r="AE175" s="73"/>
      <c r="AF175" s="314">
        <f t="shared" si="64"/>
        <v>0</v>
      </c>
      <c r="AG175" s="73"/>
      <c r="AH175" s="73"/>
      <c r="AI175" s="73"/>
      <c r="AJ175" s="73"/>
      <c r="AK175" s="321">
        <f t="shared" si="65"/>
        <v>0</v>
      </c>
      <c r="AL175" s="73"/>
      <c r="AM175" s="291"/>
    </row>
    <row r="176" spans="1:39" hidden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205"/>
      <c r="L176" s="73"/>
      <c r="M176" s="73"/>
      <c r="N176" s="73"/>
      <c r="O176" s="73"/>
      <c r="P176" s="73"/>
      <c r="Q176" s="150"/>
      <c r="R176" s="73"/>
      <c r="S176" s="205"/>
      <c r="T176" s="73"/>
      <c r="U176" s="76"/>
      <c r="V176" s="73"/>
      <c r="W176" s="76"/>
      <c r="X176" s="321">
        <f t="shared" si="62"/>
        <v>0</v>
      </c>
      <c r="Y176" s="321"/>
      <c r="Z176" s="321">
        <f t="shared" si="63"/>
        <v>0</v>
      </c>
      <c r="AA176" s="321">
        <f t="shared" si="60"/>
        <v>0</v>
      </c>
      <c r="AB176" s="321" t="e">
        <f t="shared" si="61"/>
        <v>#DIV/0!</v>
      </c>
      <c r="AC176" s="73"/>
      <c r="AD176" s="73"/>
      <c r="AE176" s="73"/>
      <c r="AF176" s="314">
        <f t="shared" si="64"/>
        <v>0</v>
      </c>
      <c r="AG176" s="73"/>
      <c r="AH176" s="73"/>
      <c r="AI176" s="73"/>
      <c r="AJ176" s="73"/>
      <c r="AK176" s="321">
        <f t="shared" si="65"/>
        <v>0</v>
      </c>
      <c r="AL176" s="73"/>
      <c r="AM176" s="291"/>
    </row>
    <row r="177" spans="1:39" hidden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205"/>
      <c r="L177" s="73"/>
      <c r="M177" s="73"/>
      <c r="N177" s="73"/>
      <c r="O177" s="73"/>
      <c r="P177" s="73"/>
      <c r="Q177" s="150"/>
      <c r="R177" s="73"/>
      <c r="S177" s="205"/>
      <c r="T177" s="73"/>
      <c r="U177" s="76"/>
      <c r="V177" s="73"/>
      <c r="W177" s="76"/>
      <c r="X177" s="321">
        <f t="shared" si="62"/>
        <v>0</v>
      </c>
      <c r="Y177" s="321"/>
      <c r="Z177" s="321">
        <f t="shared" si="63"/>
        <v>0</v>
      </c>
      <c r="AA177" s="321">
        <f t="shared" si="60"/>
        <v>0</v>
      </c>
      <c r="AB177" s="321" t="e">
        <f t="shared" si="61"/>
        <v>#DIV/0!</v>
      </c>
      <c r="AC177" s="73"/>
      <c r="AD177" s="73"/>
      <c r="AE177" s="73"/>
      <c r="AF177" s="314">
        <f t="shared" si="64"/>
        <v>0</v>
      </c>
      <c r="AG177" s="73"/>
      <c r="AH177" s="73"/>
      <c r="AI177" s="73"/>
      <c r="AJ177" s="73"/>
      <c r="AK177" s="321">
        <f t="shared" si="65"/>
        <v>0</v>
      </c>
      <c r="AL177" s="73"/>
      <c r="AM177" s="291"/>
    </row>
    <row r="178" spans="1:39" hidden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205"/>
      <c r="L178" s="73"/>
      <c r="M178" s="73"/>
      <c r="N178" s="73"/>
      <c r="O178" s="73"/>
      <c r="P178" s="73"/>
      <c r="Q178" s="150"/>
      <c r="R178" s="73"/>
      <c r="S178" s="205"/>
      <c r="T178" s="73"/>
      <c r="U178" s="76"/>
      <c r="V178" s="73"/>
      <c r="W178" s="76"/>
      <c r="X178" s="321">
        <f t="shared" si="62"/>
        <v>0</v>
      </c>
      <c r="Y178" s="321"/>
      <c r="Z178" s="321">
        <f t="shared" si="63"/>
        <v>0</v>
      </c>
      <c r="AA178" s="321">
        <f t="shared" si="60"/>
        <v>0</v>
      </c>
      <c r="AB178" s="321" t="e">
        <f t="shared" si="61"/>
        <v>#DIV/0!</v>
      </c>
      <c r="AC178" s="73"/>
      <c r="AD178" s="73"/>
      <c r="AE178" s="73"/>
      <c r="AF178" s="314">
        <f t="shared" si="64"/>
        <v>0</v>
      </c>
      <c r="AG178" s="73"/>
      <c r="AH178" s="73"/>
      <c r="AI178" s="73"/>
      <c r="AJ178" s="73"/>
      <c r="AK178" s="321">
        <f t="shared" si="65"/>
        <v>0</v>
      </c>
      <c r="AL178" s="73"/>
      <c r="AM178" s="291"/>
    </row>
    <row r="179" spans="1:39" hidden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205"/>
      <c r="L179" s="73"/>
      <c r="M179" s="73"/>
      <c r="N179" s="73"/>
      <c r="O179" s="73"/>
      <c r="P179" s="73"/>
      <c r="Q179" s="150"/>
      <c r="R179" s="73"/>
      <c r="S179" s="205"/>
      <c r="T179" s="73"/>
      <c r="U179" s="76"/>
      <c r="V179" s="73"/>
      <c r="W179" s="76"/>
      <c r="X179" s="321">
        <f t="shared" si="62"/>
        <v>0</v>
      </c>
      <c r="Y179" s="321"/>
      <c r="Z179" s="321">
        <f t="shared" si="63"/>
        <v>0</v>
      </c>
      <c r="AA179" s="321">
        <f t="shared" si="60"/>
        <v>0</v>
      </c>
      <c r="AB179" s="321" t="e">
        <f t="shared" si="61"/>
        <v>#DIV/0!</v>
      </c>
      <c r="AC179" s="73"/>
      <c r="AD179" s="73"/>
      <c r="AE179" s="73"/>
      <c r="AF179" s="314">
        <f t="shared" si="64"/>
        <v>0</v>
      </c>
      <c r="AG179" s="73"/>
      <c r="AH179" s="73"/>
      <c r="AI179" s="73"/>
      <c r="AJ179" s="73"/>
      <c r="AK179" s="321">
        <f t="shared" si="65"/>
        <v>0</v>
      </c>
      <c r="AL179" s="73"/>
      <c r="AM179" s="291"/>
    </row>
    <row r="180" spans="1:39" hidden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205"/>
      <c r="L180" s="73"/>
      <c r="M180" s="73"/>
      <c r="N180" s="73"/>
      <c r="O180" s="73"/>
      <c r="P180" s="73"/>
      <c r="Q180" s="150"/>
      <c r="R180" s="73"/>
      <c r="S180" s="205"/>
      <c r="T180" s="73"/>
      <c r="U180" s="76"/>
      <c r="V180" s="73"/>
      <c r="W180" s="76"/>
      <c r="X180" s="321">
        <f t="shared" si="62"/>
        <v>0</v>
      </c>
      <c r="Y180" s="321"/>
      <c r="Z180" s="321">
        <f t="shared" si="63"/>
        <v>0</v>
      </c>
      <c r="AA180" s="321">
        <f t="shared" si="60"/>
        <v>0</v>
      </c>
      <c r="AB180" s="321" t="e">
        <f t="shared" si="61"/>
        <v>#DIV/0!</v>
      </c>
      <c r="AC180" s="73"/>
      <c r="AD180" s="73"/>
      <c r="AE180" s="73"/>
      <c r="AF180" s="314">
        <f t="shared" si="64"/>
        <v>0</v>
      </c>
      <c r="AG180" s="73"/>
      <c r="AH180" s="73"/>
      <c r="AI180" s="73"/>
      <c r="AJ180" s="73"/>
      <c r="AK180" s="321">
        <f t="shared" si="65"/>
        <v>0</v>
      </c>
      <c r="AL180" s="73"/>
      <c r="AM180" s="291"/>
    </row>
    <row r="181" spans="1:39" hidden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205"/>
      <c r="L181" s="73"/>
      <c r="M181" s="73"/>
      <c r="N181" s="73"/>
      <c r="O181" s="73"/>
      <c r="P181" s="73"/>
      <c r="Q181" s="150"/>
      <c r="R181" s="73"/>
      <c r="S181" s="205"/>
      <c r="T181" s="73"/>
      <c r="U181" s="76"/>
      <c r="V181" s="73"/>
      <c r="W181" s="76"/>
      <c r="X181" s="321">
        <f t="shared" si="62"/>
        <v>0</v>
      </c>
      <c r="Y181" s="321"/>
      <c r="Z181" s="321">
        <f t="shared" si="63"/>
        <v>0</v>
      </c>
      <c r="AA181" s="321">
        <f t="shared" si="60"/>
        <v>0</v>
      </c>
      <c r="AB181" s="321" t="e">
        <f t="shared" si="61"/>
        <v>#DIV/0!</v>
      </c>
      <c r="AC181" s="73"/>
      <c r="AD181" s="73"/>
      <c r="AE181" s="73"/>
      <c r="AF181" s="314">
        <f t="shared" si="64"/>
        <v>0</v>
      </c>
      <c r="AG181" s="73"/>
      <c r="AH181" s="73"/>
      <c r="AI181" s="73"/>
      <c r="AJ181" s="73"/>
      <c r="AK181" s="321">
        <f t="shared" si="65"/>
        <v>0</v>
      </c>
      <c r="AL181" s="73"/>
      <c r="AM181" s="291"/>
    </row>
    <row r="182" spans="1:39" hidden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205"/>
      <c r="L182" s="73"/>
      <c r="M182" s="73"/>
      <c r="N182" s="73"/>
      <c r="O182" s="73"/>
      <c r="P182" s="73"/>
      <c r="Q182" s="150"/>
      <c r="R182" s="73"/>
      <c r="S182" s="205"/>
      <c r="T182" s="73"/>
      <c r="U182" s="76"/>
      <c r="V182" s="73"/>
      <c r="W182" s="76"/>
      <c r="X182" s="321">
        <f t="shared" si="62"/>
        <v>0</v>
      </c>
      <c r="Y182" s="321"/>
      <c r="Z182" s="321">
        <f t="shared" si="63"/>
        <v>0</v>
      </c>
      <c r="AA182" s="321">
        <f t="shared" si="60"/>
        <v>0</v>
      </c>
      <c r="AB182" s="321" t="e">
        <f t="shared" si="61"/>
        <v>#DIV/0!</v>
      </c>
      <c r="AC182" s="73"/>
      <c r="AD182" s="73"/>
      <c r="AE182" s="73"/>
      <c r="AF182" s="314">
        <f t="shared" si="64"/>
        <v>0</v>
      </c>
      <c r="AG182" s="73"/>
      <c r="AH182" s="73"/>
      <c r="AI182" s="73"/>
      <c r="AJ182" s="73"/>
      <c r="AK182" s="321">
        <f t="shared" si="65"/>
        <v>0</v>
      </c>
      <c r="AL182" s="73"/>
      <c r="AM182" s="291"/>
    </row>
    <row r="183" spans="1:39" hidden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205"/>
      <c r="L183" s="73"/>
      <c r="M183" s="73"/>
      <c r="N183" s="73"/>
      <c r="O183" s="73"/>
      <c r="P183" s="73"/>
      <c r="Q183" s="150"/>
      <c r="R183" s="73"/>
      <c r="S183" s="205"/>
      <c r="T183" s="73"/>
      <c r="U183" s="76"/>
      <c r="V183" s="73"/>
      <c r="W183" s="76"/>
      <c r="X183" s="321">
        <f t="shared" si="62"/>
        <v>0</v>
      </c>
      <c r="Y183" s="321"/>
      <c r="Z183" s="321">
        <f t="shared" si="63"/>
        <v>0</v>
      </c>
      <c r="AA183" s="321">
        <f t="shared" si="60"/>
        <v>0</v>
      </c>
      <c r="AB183" s="321" t="e">
        <f t="shared" si="61"/>
        <v>#DIV/0!</v>
      </c>
      <c r="AC183" s="73"/>
      <c r="AD183" s="73"/>
      <c r="AE183" s="73"/>
      <c r="AF183" s="314">
        <f t="shared" si="64"/>
        <v>0</v>
      </c>
      <c r="AG183" s="73"/>
      <c r="AH183" s="73"/>
      <c r="AI183" s="73"/>
      <c r="AJ183" s="73"/>
      <c r="AK183" s="321">
        <f t="shared" si="65"/>
        <v>0</v>
      </c>
      <c r="AL183" s="73"/>
      <c r="AM183" s="291"/>
    </row>
    <row r="184" spans="1:39" hidden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205"/>
      <c r="L184" s="73"/>
      <c r="M184" s="73"/>
      <c r="N184" s="73"/>
      <c r="O184" s="73"/>
      <c r="P184" s="73"/>
      <c r="Q184" s="150"/>
      <c r="R184" s="73"/>
      <c r="S184" s="205"/>
      <c r="T184" s="73"/>
      <c r="U184" s="76"/>
      <c r="V184" s="73"/>
      <c r="W184" s="76"/>
      <c r="X184" s="321">
        <f t="shared" si="62"/>
        <v>0</v>
      </c>
      <c r="Y184" s="321"/>
      <c r="Z184" s="321">
        <f t="shared" si="63"/>
        <v>0</v>
      </c>
      <c r="AA184" s="321">
        <f t="shared" si="60"/>
        <v>0</v>
      </c>
      <c r="AB184" s="321" t="e">
        <f t="shared" si="61"/>
        <v>#DIV/0!</v>
      </c>
      <c r="AC184" s="73"/>
      <c r="AD184" s="73"/>
      <c r="AE184" s="73"/>
      <c r="AF184" s="314">
        <f t="shared" si="64"/>
        <v>0</v>
      </c>
      <c r="AG184" s="73"/>
      <c r="AH184" s="73"/>
      <c r="AI184" s="73"/>
      <c r="AJ184" s="73"/>
      <c r="AK184" s="321">
        <f t="shared" si="65"/>
        <v>0</v>
      </c>
      <c r="AL184" s="73"/>
      <c r="AM184" s="291"/>
    </row>
    <row r="185" spans="1:39" hidden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205"/>
      <c r="L185" s="73"/>
      <c r="M185" s="73"/>
      <c r="N185" s="73"/>
      <c r="O185" s="73"/>
      <c r="P185" s="73"/>
      <c r="Q185" s="150"/>
      <c r="R185" s="73"/>
      <c r="S185" s="205"/>
      <c r="T185" s="73"/>
      <c r="U185" s="76"/>
      <c r="V185" s="73"/>
      <c r="W185" s="76"/>
      <c r="X185" s="321">
        <f t="shared" si="62"/>
        <v>0</v>
      </c>
      <c r="Y185" s="321"/>
      <c r="Z185" s="321">
        <f t="shared" si="63"/>
        <v>0</v>
      </c>
      <c r="AA185" s="321">
        <f t="shared" si="60"/>
        <v>0</v>
      </c>
      <c r="AB185" s="321" t="e">
        <f t="shared" si="61"/>
        <v>#DIV/0!</v>
      </c>
      <c r="AC185" s="73"/>
      <c r="AD185" s="73"/>
      <c r="AE185" s="73"/>
      <c r="AF185" s="314">
        <f t="shared" si="64"/>
        <v>0</v>
      </c>
      <c r="AG185" s="73"/>
      <c r="AH185" s="73"/>
      <c r="AI185" s="73"/>
      <c r="AJ185" s="73"/>
      <c r="AK185" s="321">
        <f t="shared" si="65"/>
        <v>0</v>
      </c>
      <c r="AL185" s="73"/>
      <c r="AM185" s="291"/>
    </row>
    <row r="186" spans="1:39" hidden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205"/>
      <c r="L186" s="73"/>
      <c r="M186" s="73"/>
      <c r="N186" s="73"/>
      <c r="O186" s="73"/>
      <c r="P186" s="73"/>
      <c r="Q186" s="150"/>
      <c r="R186" s="73"/>
      <c r="S186" s="205"/>
      <c r="T186" s="73"/>
      <c r="U186" s="76"/>
      <c r="V186" s="73"/>
      <c r="W186" s="76"/>
      <c r="X186" s="321">
        <f t="shared" si="62"/>
        <v>0</v>
      </c>
      <c r="Y186" s="321"/>
      <c r="Z186" s="321">
        <f t="shared" si="63"/>
        <v>0</v>
      </c>
      <c r="AA186" s="321">
        <f t="shared" si="60"/>
        <v>0</v>
      </c>
      <c r="AB186" s="321" t="e">
        <f t="shared" si="61"/>
        <v>#DIV/0!</v>
      </c>
      <c r="AC186" s="73"/>
      <c r="AD186" s="73"/>
      <c r="AE186" s="73"/>
      <c r="AF186" s="314">
        <f t="shared" si="64"/>
        <v>0</v>
      </c>
      <c r="AG186" s="73"/>
      <c r="AH186" s="73"/>
      <c r="AI186" s="73"/>
      <c r="AJ186" s="73"/>
      <c r="AK186" s="321">
        <f t="shared" si="65"/>
        <v>0</v>
      </c>
      <c r="AL186" s="73"/>
      <c r="AM186" s="291"/>
    </row>
    <row r="187" spans="1:39" hidden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205"/>
      <c r="L187" s="73"/>
      <c r="M187" s="73"/>
      <c r="N187" s="73"/>
      <c r="O187" s="73"/>
      <c r="P187" s="73"/>
      <c r="Q187" s="150"/>
      <c r="R187" s="73"/>
      <c r="S187" s="205"/>
      <c r="T187" s="73"/>
      <c r="U187" s="76"/>
      <c r="V187" s="73"/>
      <c r="W187" s="76"/>
      <c r="X187" s="321">
        <f t="shared" si="62"/>
        <v>0</v>
      </c>
      <c r="Y187" s="321"/>
      <c r="Z187" s="321">
        <f t="shared" si="63"/>
        <v>0</v>
      </c>
      <c r="AA187" s="321">
        <f t="shared" si="60"/>
        <v>0</v>
      </c>
      <c r="AB187" s="321" t="e">
        <f t="shared" si="61"/>
        <v>#DIV/0!</v>
      </c>
      <c r="AC187" s="73"/>
      <c r="AD187" s="73"/>
      <c r="AE187" s="73"/>
      <c r="AF187" s="314">
        <f t="shared" si="64"/>
        <v>0</v>
      </c>
      <c r="AG187" s="73"/>
      <c r="AH187" s="73"/>
      <c r="AI187" s="73"/>
      <c r="AJ187" s="73"/>
      <c r="AK187" s="321">
        <f t="shared" si="65"/>
        <v>0</v>
      </c>
      <c r="AL187" s="73"/>
      <c r="AM187" s="291"/>
    </row>
    <row r="188" spans="1:39" hidden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205"/>
      <c r="L188" s="73"/>
      <c r="M188" s="73"/>
      <c r="N188" s="73"/>
      <c r="O188" s="73"/>
      <c r="P188" s="73"/>
      <c r="Q188" s="150"/>
      <c r="R188" s="73"/>
      <c r="S188" s="205"/>
      <c r="T188" s="73"/>
      <c r="U188" s="76"/>
      <c r="V188" s="73"/>
      <c r="W188" s="76"/>
      <c r="X188" s="321">
        <f t="shared" si="62"/>
        <v>0</v>
      </c>
      <c r="Y188" s="321"/>
      <c r="Z188" s="321">
        <f t="shared" si="63"/>
        <v>0</v>
      </c>
      <c r="AA188" s="321">
        <f t="shared" si="60"/>
        <v>0</v>
      </c>
      <c r="AB188" s="321" t="e">
        <f t="shared" si="61"/>
        <v>#DIV/0!</v>
      </c>
      <c r="AC188" s="73"/>
      <c r="AD188" s="73"/>
      <c r="AE188" s="73"/>
      <c r="AF188" s="314">
        <f t="shared" si="64"/>
        <v>0</v>
      </c>
      <c r="AG188" s="73"/>
      <c r="AH188" s="73"/>
      <c r="AI188" s="73"/>
      <c r="AJ188" s="73"/>
      <c r="AK188" s="321">
        <f t="shared" si="65"/>
        <v>0</v>
      </c>
      <c r="AL188" s="73"/>
      <c r="AM188" s="291"/>
    </row>
    <row r="189" spans="1:39" hidden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205"/>
      <c r="L189" s="73"/>
      <c r="M189" s="73"/>
      <c r="N189" s="73"/>
      <c r="O189" s="73"/>
      <c r="P189" s="73"/>
      <c r="Q189" s="150"/>
      <c r="R189" s="73"/>
      <c r="S189" s="205"/>
      <c r="T189" s="73"/>
      <c r="U189" s="76"/>
      <c r="V189" s="73"/>
      <c r="W189" s="76"/>
      <c r="X189" s="321">
        <f t="shared" si="62"/>
        <v>0</v>
      </c>
      <c r="Y189" s="321"/>
      <c r="Z189" s="321">
        <f t="shared" si="63"/>
        <v>0</v>
      </c>
      <c r="AA189" s="321">
        <f t="shared" si="60"/>
        <v>0</v>
      </c>
      <c r="AB189" s="321" t="e">
        <f t="shared" si="61"/>
        <v>#DIV/0!</v>
      </c>
      <c r="AC189" s="73"/>
      <c r="AD189" s="73"/>
      <c r="AE189" s="73"/>
      <c r="AF189" s="314">
        <f t="shared" si="64"/>
        <v>0</v>
      </c>
      <c r="AG189" s="73"/>
      <c r="AH189" s="73"/>
      <c r="AI189" s="73"/>
      <c r="AJ189" s="73"/>
      <c r="AK189" s="321">
        <f t="shared" si="65"/>
        <v>0</v>
      </c>
      <c r="AL189" s="73"/>
      <c r="AM189" s="291"/>
    </row>
    <row r="190" spans="1:39" hidden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205"/>
      <c r="L190" s="73"/>
      <c r="M190" s="73"/>
      <c r="N190" s="73"/>
      <c r="O190" s="73"/>
      <c r="P190" s="73"/>
      <c r="Q190" s="150"/>
      <c r="R190" s="73"/>
      <c r="S190" s="205"/>
      <c r="T190" s="73"/>
      <c r="U190" s="76"/>
      <c r="V190" s="73"/>
      <c r="W190" s="76"/>
      <c r="X190" s="321">
        <f t="shared" si="62"/>
        <v>0</v>
      </c>
      <c r="Y190" s="321"/>
      <c r="Z190" s="321">
        <f t="shared" si="63"/>
        <v>0</v>
      </c>
      <c r="AA190" s="321">
        <f t="shared" si="60"/>
        <v>0</v>
      </c>
      <c r="AB190" s="321" t="e">
        <f t="shared" si="61"/>
        <v>#DIV/0!</v>
      </c>
      <c r="AC190" s="73"/>
      <c r="AD190" s="73"/>
      <c r="AE190" s="73"/>
      <c r="AF190" s="314">
        <f t="shared" si="64"/>
        <v>0</v>
      </c>
      <c r="AG190" s="73"/>
      <c r="AH190" s="73"/>
      <c r="AI190" s="73"/>
      <c r="AJ190" s="73"/>
      <c r="AK190" s="321">
        <f t="shared" si="65"/>
        <v>0</v>
      </c>
      <c r="AL190" s="73"/>
      <c r="AM190" s="291"/>
    </row>
    <row r="191" spans="1:39" hidden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205"/>
      <c r="L191" s="73"/>
      <c r="M191" s="73"/>
      <c r="N191" s="73"/>
      <c r="O191" s="73"/>
      <c r="P191" s="73"/>
      <c r="Q191" s="150"/>
      <c r="R191" s="73"/>
      <c r="S191" s="205"/>
      <c r="T191" s="73"/>
      <c r="U191" s="76"/>
      <c r="V191" s="73"/>
      <c r="W191" s="76"/>
      <c r="X191" s="321">
        <f t="shared" si="62"/>
        <v>0</v>
      </c>
      <c r="Y191" s="321"/>
      <c r="Z191" s="321">
        <f t="shared" si="63"/>
        <v>0</v>
      </c>
      <c r="AA191" s="321">
        <f t="shared" si="60"/>
        <v>0</v>
      </c>
      <c r="AB191" s="321" t="e">
        <f t="shared" si="61"/>
        <v>#DIV/0!</v>
      </c>
      <c r="AC191" s="73"/>
      <c r="AD191" s="73"/>
      <c r="AE191" s="73"/>
      <c r="AF191" s="314">
        <f t="shared" si="64"/>
        <v>0</v>
      </c>
      <c r="AG191" s="73"/>
      <c r="AH191" s="73"/>
      <c r="AI191" s="73"/>
      <c r="AJ191" s="73"/>
      <c r="AK191" s="321">
        <f t="shared" si="65"/>
        <v>0</v>
      </c>
      <c r="AL191" s="73"/>
      <c r="AM191" s="291"/>
    </row>
    <row r="192" spans="1:39" hidden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205"/>
      <c r="L192" s="73"/>
      <c r="M192" s="73"/>
      <c r="N192" s="73"/>
      <c r="O192" s="73"/>
      <c r="P192" s="73"/>
      <c r="Q192" s="150"/>
      <c r="R192" s="73"/>
      <c r="S192" s="205"/>
      <c r="T192" s="73"/>
      <c r="U192" s="76"/>
      <c r="V192" s="73"/>
      <c r="W192" s="76"/>
      <c r="X192" s="321">
        <f t="shared" si="62"/>
        <v>0</v>
      </c>
      <c r="Y192" s="321"/>
      <c r="Z192" s="321">
        <f t="shared" si="63"/>
        <v>0</v>
      </c>
      <c r="AA192" s="321">
        <f t="shared" si="60"/>
        <v>0</v>
      </c>
      <c r="AB192" s="321" t="e">
        <f t="shared" si="61"/>
        <v>#DIV/0!</v>
      </c>
      <c r="AC192" s="73"/>
      <c r="AD192" s="73"/>
      <c r="AE192" s="73"/>
      <c r="AF192" s="314">
        <f t="shared" si="64"/>
        <v>0</v>
      </c>
      <c r="AG192" s="73"/>
      <c r="AH192" s="73"/>
      <c r="AI192" s="73"/>
      <c r="AJ192" s="73"/>
      <c r="AK192" s="321">
        <f t="shared" si="65"/>
        <v>0</v>
      </c>
      <c r="AL192" s="73"/>
      <c r="AM192" s="291"/>
    </row>
    <row r="193" spans="1:39" hidden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205"/>
      <c r="L193" s="73"/>
      <c r="M193" s="73"/>
      <c r="N193" s="73"/>
      <c r="O193" s="73"/>
      <c r="P193" s="73"/>
      <c r="Q193" s="150"/>
      <c r="R193" s="73"/>
      <c r="S193" s="205"/>
      <c r="T193" s="73"/>
      <c r="U193" s="76"/>
      <c r="V193" s="73"/>
      <c r="W193" s="76"/>
      <c r="X193" s="321">
        <f t="shared" si="62"/>
        <v>0</v>
      </c>
      <c r="Y193" s="321"/>
      <c r="Z193" s="321">
        <f t="shared" si="63"/>
        <v>0</v>
      </c>
      <c r="AA193" s="321">
        <f t="shared" si="60"/>
        <v>0</v>
      </c>
      <c r="AB193" s="321" t="e">
        <f t="shared" si="61"/>
        <v>#DIV/0!</v>
      </c>
      <c r="AC193" s="73"/>
      <c r="AD193" s="73"/>
      <c r="AE193" s="73"/>
      <c r="AF193" s="314">
        <f t="shared" si="64"/>
        <v>0</v>
      </c>
      <c r="AG193" s="73"/>
      <c r="AH193" s="73"/>
      <c r="AI193" s="73"/>
      <c r="AJ193" s="73"/>
      <c r="AK193" s="321">
        <f t="shared" si="65"/>
        <v>0</v>
      </c>
      <c r="AL193" s="73"/>
      <c r="AM193" s="291"/>
    </row>
    <row r="194" spans="1:39" hidden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205"/>
      <c r="L194" s="73"/>
      <c r="M194" s="73"/>
      <c r="N194" s="73"/>
      <c r="O194" s="73"/>
      <c r="P194" s="73"/>
      <c r="Q194" s="150"/>
      <c r="R194" s="73"/>
      <c r="S194" s="205"/>
      <c r="T194" s="73"/>
      <c r="U194" s="76"/>
      <c r="V194" s="73"/>
      <c r="W194" s="76"/>
      <c r="X194" s="321">
        <f t="shared" si="62"/>
        <v>0</v>
      </c>
      <c r="Y194" s="321"/>
      <c r="Z194" s="321">
        <f t="shared" si="63"/>
        <v>0</v>
      </c>
      <c r="AA194" s="321">
        <f t="shared" si="60"/>
        <v>0</v>
      </c>
      <c r="AB194" s="321" t="e">
        <f t="shared" si="61"/>
        <v>#DIV/0!</v>
      </c>
      <c r="AC194" s="73"/>
      <c r="AD194" s="73"/>
      <c r="AE194" s="73"/>
      <c r="AF194" s="314">
        <f t="shared" si="64"/>
        <v>0</v>
      </c>
      <c r="AG194" s="73"/>
      <c r="AH194" s="73"/>
      <c r="AI194" s="73"/>
      <c r="AJ194" s="73"/>
      <c r="AK194" s="321">
        <f t="shared" si="65"/>
        <v>0</v>
      </c>
      <c r="AL194" s="73"/>
      <c r="AM194" s="291"/>
    </row>
    <row r="195" spans="1:39" hidden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205"/>
      <c r="L195" s="73"/>
      <c r="M195" s="73"/>
      <c r="N195" s="73"/>
      <c r="O195" s="73"/>
      <c r="P195" s="73"/>
      <c r="Q195" s="150"/>
      <c r="R195" s="73"/>
      <c r="S195" s="205"/>
      <c r="T195" s="73"/>
      <c r="U195" s="76"/>
      <c r="V195" s="73"/>
      <c r="W195" s="76"/>
      <c r="X195" s="321">
        <f t="shared" si="62"/>
        <v>0</v>
      </c>
      <c r="Y195" s="321"/>
      <c r="Z195" s="321">
        <f t="shared" si="63"/>
        <v>0</v>
      </c>
      <c r="AA195" s="321">
        <f t="shared" si="60"/>
        <v>0</v>
      </c>
      <c r="AB195" s="321" t="e">
        <f t="shared" si="61"/>
        <v>#DIV/0!</v>
      </c>
      <c r="AC195" s="73"/>
      <c r="AD195" s="73"/>
      <c r="AE195" s="73"/>
      <c r="AF195" s="314">
        <f t="shared" si="64"/>
        <v>0</v>
      </c>
      <c r="AG195" s="73"/>
      <c r="AH195" s="73"/>
      <c r="AI195" s="73"/>
      <c r="AJ195" s="73"/>
      <c r="AK195" s="321">
        <f t="shared" si="65"/>
        <v>0</v>
      </c>
      <c r="AL195" s="73"/>
      <c r="AM195" s="291"/>
    </row>
    <row r="196" spans="1:39" hidden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205"/>
      <c r="L196" s="73"/>
      <c r="M196" s="73"/>
      <c r="N196" s="73"/>
      <c r="O196" s="73"/>
      <c r="P196" s="73"/>
      <c r="Q196" s="150"/>
      <c r="R196" s="73"/>
      <c r="S196" s="205"/>
      <c r="T196" s="73"/>
      <c r="U196" s="76"/>
      <c r="V196" s="73"/>
      <c r="W196" s="76"/>
      <c r="X196" s="321">
        <f t="shared" si="62"/>
        <v>0</v>
      </c>
      <c r="Y196" s="321"/>
      <c r="Z196" s="321">
        <f t="shared" si="63"/>
        <v>0</v>
      </c>
      <c r="AA196" s="321">
        <f t="shared" si="60"/>
        <v>0</v>
      </c>
      <c r="AB196" s="321" t="e">
        <f t="shared" si="61"/>
        <v>#DIV/0!</v>
      </c>
      <c r="AC196" s="73"/>
      <c r="AD196" s="73"/>
      <c r="AE196" s="73"/>
      <c r="AF196" s="314">
        <f t="shared" si="64"/>
        <v>0</v>
      </c>
      <c r="AG196" s="73"/>
      <c r="AH196" s="73"/>
      <c r="AI196" s="73"/>
      <c r="AJ196" s="73"/>
      <c r="AK196" s="321">
        <f t="shared" si="65"/>
        <v>0</v>
      </c>
      <c r="AL196" s="73"/>
      <c r="AM196" s="291"/>
    </row>
    <row r="197" spans="1:39" hidden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205"/>
      <c r="L197" s="73"/>
      <c r="M197" s="73"/>
      <c r="N197" s="73"/>
      <c r="O197" s="73"/>
      <c r="P197" s="73"/>
      <c r="Q197" s="150"/>
      <c r="R197" s="73"/>
      <c r="S197" s="205"/>
      <c r="T197" s="73"/>
      <c r="U197" s="76"/>
      <c r="V197" s="73"/>
      <c r="W197" s="76"/>
      <c r="X197" s="321">
        <f t="shared" si="62"/>
        <v>0</v>
      </c>
      <c r="Y197" s="321"/>
      <c r="Z197" s="321">
        <f t="shared" si="63"/>
        <v>0</v>
      </c>
      <c r="AA197" s="321">
        <f t="shared" si="60"/>
        <v>0</v>
      </c>
      <c r="AB197" s="321" t="e">
        <f t="shared" si="61"/>
        <v>#DIV/0!</v>
      </c>
      <c r="AC197" s="73"/>
      <c r="AD197" s="73"/>
      <c r="AE197" s="73"/>
      <c r="AF197" s="314">
        <f t="shared" si="64"/>
        <v>0</v>
      </c>
      <c r="AG197" s="73"/>
      <c r="AH197" s="73"/>
      <c r="AI197" s="73"/>
      <c r="AJ197" s="73"/>
      <c r="AK197" s="321">
        <f t="shared" si="65"/>
        <v>0</v>
      </c>
      <c r="AL197" s="73"/>
      <c r="AM197" s="291"/>
    </row>
    <row r="198" spans="1:39" hidden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205"/>
      <c r="L198" s="73"/>
      <c r="M198" s="73"/>
      <c r="N198" s="73"/>
      <c r="O198" s="73"/>
      <c r="P198" s="73"/>
      <c r="Q198" s="150"/>
      <c r="R198" s="73"/>
      <c r="S198" s="205"/>
      <c r="T198" s="73"/>
      <c r="U198" s="76"/>
      <c r="V198" s="73"/>
      <c r="W198" s="76"/>
      <c r="X198" s="321">
        <f t="shared" si="62"/>
        <v>0</v>
      </c>
      <c r="Y198" s="321"/>
      <c r="Z198" s="321">
        <f t="shared" si="63"/>
        <v>0</v>
      </c>
      <c r="AA198" s="321">
        <f t="shared" si="60"/>
        <v>0</v>
      </c>
      <c r="AB198" s="321" t="e">
        <f t="shared" si="61"/>
        <v>#DIV/0!</v>
      </c>
      <c r="AC198" s="73"/>
      <c r="AD198" s="73"/>
      <c r="AE198" s="73"/>
      <c r="AF198" s="314">
        <f t="shared" si="64"/>
        <v>0</v>
      </c>
      <c r="AG198" s="73"/>
      <c r="AH198" s="73"/>
      <c r="AI198" s="73"/>
      <c r="AJ198" s="73"/>
      <c r="AK198" s="321">
        <f t="shared" si="65"/>
        <v>0</v>
      </c>
      <c r="AL198" s="73"/>
      <c r="AM198" s="291"/>
    </row>
    <row r="199" spans="1:39" hidden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205"/>
      <c r="L199" s="73"/>
      <c r="M199" s="73"/>
      <c r="N199" s="73"/>
      <c r="O199" s="73"/>
      <c r="P199" s="73"/>
      <c r="Q199" s="150"/>
      <c r="R199" s="73"/>
      <c r="S199" s="205"/>
      <c r="T199" s="73"/>
      <c r="U199" s="76"/>
      <c r="V199" s="73"/>
      <c r="W199" s="76"/>
      <c r="X199" s="321">
        <f t="shared" si="62"/>
        <v>0</v>
      </c>
      <c r="Y199" s="321"/>
      <c r="Z199" s="321">
        <f t="shared" si="63"/>
        <v>0</v>
      </c>
      <c r="AA199" s="321">
        <f t="shared" si="60"/>
        <v>0</v>
      </c>
      <c r="AB199" s="321" t="e">
        <f t="shared" si="61"/>
        <v>#DIV/0!</v>
      </c>
      <c r="AC199" s="73"/>
      <c r="AD199" s="73"/>
      <c r="AE199" s="73"/>
      <c r="AF199" s="314">
        <f t="shared" si="64"/>
        <v>0</v>
      </c>
      <c r="AG199" s="73"/>
      <c r="AH199" s="73"/>
      <c r="AI199" s="73"/>
      <c r="AJ199" s="73"/>
      <c r="AK199" s="321">
        <f t="shared" si="65"/>
        <v>0</v>
      </c>
      <c r="AL199" s="73"/>
      <c r="AM199" s="291"/>
    </row>
    <row r="200" spans="1:39" hidden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205"/>
      <c r="L200" s="73"/>
      <c r="M200" s="73"/>
      <c r="N200" s="73"/>
      <c r="O200" s="73"/>
      <c r="P200" s="73"/>
      <c r="Q200" s="150"/>
      <c r="R200" s="73"/>
      <c r="S200" s="205"/>
      <c r="T200" s="73"/>
      <c r="U200" s="76"/>
      <c r="V200" s="73"/>
      <c r="W200" s="76"/>
      <c r="X200" s="321">
        <f t="shared" si="62"/>
        <v>0</v>
      </c>
      <c r="Y200" s="321"/>
      <c r="Z200" s="321">
        <f t="shared" si="63"/>
        <v>0</v>
      </c>
      <c r="AA200" s="321">
        <f t="shared" si="60"/>
        <v>0</v>
      </c>
      <c r="AB200" s="321" t="e">
        <f t="shared" si="61"/>
        <v>#DIV/0!</v>
      </c>
      <c r="AC200" s="73"/>
      <c r="AD200" s="73"/>
      <c r="AE200" s="73"/>
      <c r="AF200" s="314">
        <f t="shared" si="64"/>
        <v>0</v>
      </c>
      <c r="AG200" s="73"/>
      <c r="AH200" s="73"/>
      <c r="AI200" s="73"/>
      <c r="AJ200" s="73"/>
      <c r="AK200" s="321">
        <f t="shared" si="65"/>
        <v>0</v>
      </c>
      <c r="AL200" s="73"/>
      <c r="AM200" s="291"/>
    </row>
    <row r="201" spans="1:39" hidden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205"/>
      <c r="L201" s="73"/>
      <c r="M201" s="73"/>
      <c r="N201" s="73"/>
      <c r="O201" s="73"/>
      <c r="P201" s="73"/>
      <c r="Q201" s="150"/>
      <c r="R201" s="73"/>
      <c r="S201" s="205"/>
      <c r="T201" s="73"/>
      <c r="U201" s="76"/>
      <c r="V201" s="73"/>
      <c r="W201" s="76"/>
      <c r="X201" s="321">
        <f t="shared" si="62"/>
        <v>0</v>
      </c>
      <c r="Y201" s="321"/>
      <c r="Z201" s="321">
        <f t="shared" si="63"/>
        <v>0</v>
      </c>
      <c r="AA201" s="321">
        <f t="shared" si="60"/>
        <v>0</v>
      </c>
      <c r="AB201" s="321" t="e">
        <f t="shared" si="61"/>
        <v>#DIV/0!</v>
      </c>
      <c r="AC201" s="73"/>
      <c r="AD201" s="73"/>
      <c r="AE201" s="73"/>
      <c r="AF201" s="314">
        <f t="shared" si="64"/>
        <v>0</v>
      </c>
      <c r="AG201" s="73"/>
      <c r="AH201" s="73"/>
      <c r="AI201" s="73"/>
      <c r="AJ201" s="73"/>
      <c r="AK201" s="321">
        <f t="shared" si="65"/>
        <v>0</v>
      </c>
      <c r="AL201" s="73"/>
      <c r="AM201" s="291"/>
    </row>
    <row r="202" spans="1:39" hidden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205"/>
      <c r="L202" s="73"/>
      <c r="M202" s="73"/>
      <c r="N202" s="73"/>
      <c r="O202" s="73"/>
      <c r="P202" s="73"/>
      <c r="Q202" s="150"/>
      <c r="R202" s="73"/>
      <c r="S202" s="205"/>
      <c r="T202" s="73"/>
      <c r="U202" s="76"/>
      <c r="V202" s="73"/>
      <c r="W202" s="76"/>
      <c r="X202" s="321">
        <f t="shared" si="62"/>
        <v>0</v>
      </c>
      <c r="Y202" s="321"/>
      <c r="Z202" s="321">
        <f t="shared" si="63"/>
        <v>0</v>
      </c>
      <c r="AA202" s="321">
        <f t="shared" si="60"/>
        <v>0</v>
      </c>
      <c r="AB202" s="321" t="e">
        <f t="shared" si="61"/>
        <v>#DIV/0!</v>
      </c>
      <c r="AC202" s="73"/>
      <c r="AD202" s="73"/>
      <c r="AE202" s="73"/>
      <c r="AF202" s="314">
        <f t="shared" si="64"/>
        <v>0</v>
      </c>
      <c r="AG202" s="73"/>
      <c r="AH202" s="73"/>
      <c r="AI202" s="73"/>
      <c r="AJ202" s="73"/>
      <c r="AK202" s="321">
        <f t="shared" si="65"/>
        <v>0</v>
      </c>
      <c r="AL202" s="73"/>
      <c r="AM202" s="291"/>
    </row>
    <row r="203" spans="1:39" hidden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205"/>
      <c r="L203" s="73"/>
      <c r="M203" s="73"/>
      <c r="N203" s="73"/>
      <c r="O203" s="73"/>
      <c r="P203" s="73"/>
      <c r="Q203" s="150"/>
      <c r="R203" s="73"/>
      <c r="S203" s="205"/>
      <c r="T203" s="73"/>
      <c r="U203" s="76"/>
      <c r="V203" s="73"/>
      <c r="W203" s="76"/>
      <c r="X203" s="321">
        <f t="shared" si="62"/>
        <v>0</v>
      </c>
      <c r="Y203" s="321"/>
      <c r="Z203" s="321">
        <f t="shared" si="63"/>
        <v>0</v>
      </c>
      <c r="AA203" s="321">
        <f t="shared" si="60"/>
        <v>0</v>
      </c>
      <c r="AB203" s="321" t="e">
        <f t="shared" si="61"/>
        <v>#DIV/0!</v>
      </c>
      <c r="AC203" s="73"/>
      <c r="AD203" s="73"/>
      <c r="AE203" s="73"/>
      <c r="AF203" s="314">
        <f t="shared" si="64"/>
        <v>0</v>
      </c>
      <c r="AG203" s="73"/>
      <c r="AH203" s="73"/>
      <c r="AI203" s="73"/>
      <c r="AJ203" s="73"/>
      <c r="AK203" s="321">
        <f t="shared" si="65"/>
        <v>0</v>
      </c>
      <c r="AL203" s="73"/>
      <c r="AM203" s="291"/>
    </row>
    <row r="204" spans="1:39" hidden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205"/>
      <c r="L204" s="73"/>
      <c r="M204" s="73"/>
      <c r="N204" s="73"/>
      <c r="O204" s="73"/>
      <c r="P204" s="73"/>
      <c r="Q204" s="150"/>
      <c r="R204" s="73"/>
      <c r="S204" s="205"/>
      <c r="T204" s="73"/>
      <c r="U204" s="76"/>
      <c r="V204" s="73"/>
      <c r="W204" s="76"/>
      <c r="X204" s="321">
        <f t="shared" si="62"/>
        <v>0</v>
      </c>
      <c r="Y204" s="321"/>
      <c r="Z204" s="321">
        <f t="shared" si="63"/>
        <v>0</v>
      </c>
      <c r="AA204" s="321">
        <f t="shared" si="60"/>
        <v>0</v>
      </c>
      <c r="AB204" s="321" t="e">
        <f t="shared" si="61"/>
        <v>#DIV/0!</v>
      </c>
      <c r="AC204" s="73"/>
      <c r="AD204" s="73"/>
      <c r="AE204" s="73"/>
      <c r="AF204" s="314">
        <f t="shared" si="64"/>
        <v>0</v>
      </c>
      <c r="AG204" s="73"/>
      <c r="AH204" s="73"/>
      <c r="AI204" s="73"/>
      <c r="AJ204" s="73"/>
      <c r="AK204" s="321">
        <f t="shared" si="65"/>
        <v>0</v>
      </c>
      <c r="AL204" s="73"/>
      <c r="AM204" s="291"/>
    </row>
    <row r="205" spans="1:39" hidden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205"/>
      <c r="L205" s="73"/>
      <c r="M205" s="73"/>
      <c r="N205" s="73"/>
      <c r="O205" s="73"/>
      <c r="P205" s="73"/>
      <c r="Q205" s="150"/>
      <c r="R205" s="73"/>
      <c r="S205" s="205"/>
      <c r="T205" s="73"/>
      <c r="U205" s="76"/>
      <c r="V205" s="73"/>
      <c r="W205" s="76"/>
      <c r="X205" s="321">
        <f t="shared" si="62"/>
        <v>0</v>
      </c>
      <c r="Y205" s="321"/>
      <c r="Z205" s="321">
        <f t="shared" si="63"/>
        <v>0</v>
      </c>
      <c r="AA205" s="321">
        <f t="shared" si="60"/>
        <v>0</v>
      </c>
      <c r="AB205" s="321" t="e">
        <f t="shared" si="61"/>
        <v>#DIV/0!</v>
      </c>
      <c r="AC205" s="73"/>
      <c r="AD205" s="73"/>
      <c r="AE205" s="73"/>
      <c r="AF205" s="314">
        <f t="shared" si="64"/>
        <v>0</v>
      </c>
      <c r="AG205" s="73"/>
      <c r="AH205" s="73"/>
      <c r="AI205" s="73"/>
      <c r="AJ205" s="73"/>
      <c r="AK205" s="321">
        <f t="shared" si="65"/>
        <v>0</v>
      </c>
      <c r="AL205" s="73"/>
      <c r="AM205" s="291"/>
    </row>
    <row r="206" spans="1:39" hidden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205"/>
      <c r="L206" s="73"/>
      <c r="M206" s="73"/>
      <c r="N206" s="73"/>
      <c r="O206" s="73"/>
      <c r="P206" s="73"/>
      <c r="Q206" s="150"/>
      <c r="R206" s="73"/>
      <c r="S206" s="205"/>
      <c r="T206" s="73"/>
      <c r="U206" s="76"/>
      <c r="V206" s="73"/>
      <c r="W206" s="76"/>
      <c r="X206" s="321">
        <f t="shared" si="62"/>
        <v>0</v>
      </c>
      <c r="Y206" s="321"/>
      <c r="Z206" s="321">
        <f t="shared" si="63"/>
        <v>0</v>
      </c>
      <c r="AA206" s="321">
        <f t="shared" ref="AA206:AA240" si="66">SUM(X206:Z206)</f>
        <v>0</v>
      </c>
      <c r="AB206" s="321" t="e">
        <f t="shared" ref="AB206:AB240" si="67">AA206*100/Q206</f>
        <v>#DIV/0!</v>
      </c>
      <c r="AC206" s="73"/>
      <c r="AD206" s="73"/>
      <c r="AE206" s="73"/>
      <c r="AF206" s="314">
        <f t="shared" si="64"/>
        <v>0</v>
      </c>
      <c r="AG206" s="73"/>
      <c r="AH206" s="73"/>
      <c r="AI206" s="73"/>
      <c r="AJ206" s="73"/>
      <c r="AK206" s="321">
        <f t="shared" si="65"/>
        <v>0</v>
      </c>
      <c r="AL206" s="73"/>
      <c r="AM206" s="291"/>
    </row>
    <row r="207" spans="1:39" hidden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205"/>
      <c r="L207" s="73"/>
      <c r="M207" s="73"/>
      <c r="N207" s="73"/>
      <c r="O207" s="73"/>
      <c r="P207" s="73"/>
      <c r="Q207" s="150"/>
      <c r="R207" s="73"/>
      <c r="S207" s="205"/>
      <c r="T207" s="73"/>
      <c r="U207" s="76"/>
      <c r="V207" s="73"/>
      <c r="W207" s="76"/>
      <c r="X207" s="321">
        <f t="shared" ref="X207:X240" si="68">AC207+AI207</f>
        <v>0</v>
      </c>
      <c r="Y207" s="321"/>
      <c r="Z207" s="321">
        <f t="shared" ref="Z207:Z240" si="69">AE207+AJ207</f>
        <v>0</v>
      </c>
      <c r="AA207" s="321">
        <f t="shared" si="66"/>
        <v>0</v>
      </c>
      <c r="AB207" s="321" t="e">
        <f t="shared" si="67"/>
        <v>#DIV/0!</v>
      </c>
      <c r="AC207" s="73"/>
      <c r="AD207" s="73"/>
      <c r="AE207" s="73"/>
      <c r="AF207" s="314">
        <f t="shared" ref="AF207:AF240" si="70">AE207+AC207</f>
        <v>0</v>
      </c>
      <c r="AG207" s="73"/>
      <c r="AH207" s="73"/>
      <c r="AI207" s="73"/>
      <c r="AJ207" s="73"/>
      <c r="AK207" s="321">
        <f t="shared" ref="AK207:AK240" si="71">AJ207+AI207</f>
        <v>0</v>
      </c>
      <c r="AL207" s="73"/>
      <c r="AM207" s="291"/>
    </row>
    <row r="208" spans="1:39" hidden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205"/>
      <c r="L208" s="73"/>
      <c r="M208" s="73"/>
      <c r="N208" s="73"/>
      <c r="O208" s="73"/>
      <c r="P208" s="73"/>
      <c r="Q208" s="150"/>
      <c r="R208" s="73"/>
      <c r="S208" s="205"/>
      <c r="T208" s="73"/>
      <c r="U208" s="76"/>
      <c r="V208" s="73"/>
      <c r="W208" s="76"/>
      <c r="X208" s="321">
        <f t="shared" si="68"/>
        <v>0</v>
      </c>
      <c r="Y208" s="321"/>
      <c r="Z208" s="321">
        <f t="shared" si="69"/>
        <v>0</v>
      </c>
      <c r="AA208" s="321">
        <f t="shared" si="66"/>
        <v>0</v>
      </c>
      <c r="AB208" s="321" t="e">
        <f t="shared" si="67"/>
        <v>#DIV/0!</v>
      </c>
      <c r="AC208" s="73"/>
      <c r="AD208" s="73"/>
      <c r="AE208" s="73"/>
      <c r="AF208" s="314">
        <f t="shared" si="70"/>
        <v>0</v>
      </c>
      <c r="AG208" s="73"/>
      <c r="AH208" s="73"/>
      <c r="AI208" s="73"/>
      <c r="AJ208" s="73"/>
      <c r="AK208" s="321">
        <f t="shared" si="71"/>
        <v>0</v>
      </c>
      <c r="AL208" s="73"/>
      <c r="AM208" s="291"/>
    </row>
    <row r="209" spans="1:39" hidden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205"/>
      <c r="L209" s="73"/>
      <c r="M209" s="73"/>
      <c r="N209" s="73"/>
      <c r="O209" s="73"/>
      <c r="P209" s="73"/>
      <c r="Q209" s="150"/>
      <c r="R209" s="73"/>
      <c r="S209" s="205"/>
      <c r="T209" s="73"/>
      <c r="U209" s="76"/>
      <c r="V209" s="73"/>
      <c r="W209" s="76"/>
      <c r="X209" s="321">
        <f t="shared" si="68"/>
        <v>0</v>
      </c>
      <c r="Y209" s="321"/>
      <c r="Z209" s="321">
        <f t="shared" si="69"/>
        <v>0</v>
      </c>
      <c r="AA209" s="321">
        <f t="shared" si="66"/>
        <v>0</v>
      </c>
      <c r="AB209" s="321" t="e">
        <f t="shared" si="67"/>
        <v>#DIV/0!</v>
      </c>
      <c r="AC209" s="73"/>
      <c r="AD209" s="73"/>
      <c r="AE209" s="73"/>
      <c r="AF209" s="314">
        <f t="shared" si="70"/>
        <v>0</v>
      </c>
      <c r="AG209" s="73"/>
      <c r="AH209" s="73"/>
      <c r="AI209" s="73"/>
      <c r="AJ209" s="73"/>
      <c r="AK209" s="321">
        <f t="shared" si="71"/>
        <v>0</v>
      </c>
      <c r="AL209" s="73"/>
      <c r="AM209" s="291"/>
    </row>
    <row r="210" spans="1:39" hidden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205"/>
      <c r="L210" s="73"/>
      <c r="M210" s="73"/>
      <c r="N210" s="73"/>
      <c r="O210" s="73"/>
      <c r="P210" s="73"/>
      <c r="Q210" s="150"/>
      <c r="R210" s="73"/>
      <c r="S210" s="205"/>
      <c r="T210" s="73"/>
      <c r="U210" s="76"/>
      <c r="V210" s="73"/>
      <c r="W210" s="76"/>
      <c r="X210" s="321">
        <f t="shared" si="68"/>
        <v>0</v>
      </c>
      <c r="Y210" s="321"/>
      <c r="Z210" s="321">
        <f t="shared" si="69"/>
        <v>0</v>
      </c>
      <c r="AA210" s="321">
        <f t="shared" si="66"/>
        <v>0</v>
      </c>
      <c r="AB210" s="321" t="e">
        <f t="shared" si="67"/>
        <v>#DIV/0!</v>
      </c>
      <c r="AC210" s="73"/>
      <c r="AD210" s="73"/>
      <c r="AE210" s="73"/>
      <c r="AF210" s="314">
        <f t="shared" si="70"/>
        <v>0</v>
      </c>
      <c r="AG210" s="73"/>
      <c r="AH210" s="73"/>
      <c r="AI210" s="73"/>
      <c r="AJ210" s="73"/>
      <c r="AK210" s="321">
        <f t="shared" si="71"/>
        <v>0</v>
      </c>
      <c r="AL210" s="73"/>
      <c r="AM210" s="291"/>
    </row>
    <row r="211" spans="1:39" hidden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205"/>
      <c r="L211" s="73"/>
      <c r="M211" s="73"/>
      <c r="N211" s="73"/>
      <c r="O211" s="73"/>
      <c r="P211" s="73"/>
      <c r="Q211" s="150"/>
      <c r="R211" s="73"/>
      <c r="S211" s="205"/>
      <c r="T211" s="73"/>
      <c r="U211" s="76"/>
      <c r="V211" s="73"/>
      <c r="W211" s="76"/>
      <c r="X211" s="321">
        <f t="shared" si="68"/>
        <v>0</v>
      </c>
      <c r="Y211" s="321"/>
      <c r="Z211" s="321">
        <f t="shared" si="69"/>
        <v>0</v>
      </c>
      <c r="AA211" s="321">
        <f t="shared" si="66"/>
        <v>0</v>
      </c>
      <c r="AB211" s="321" t="e">
        <f t="shared" si="67"/>
        <v>#DIV/0!</v>
      </c>
      <c r="AC211" s="73"/>
      <c r="AD211" s="73"/>
      <c r="AE211" s="73"/>
      <c r="AF211" s="314">
        <f t="shared" si="70"/>
        <v>0</v>
      </c>
      <c r="AG211" s="73"/>
      <c r="AH211" s="73"/>
      <c r="AI211" s="73"/>
      <c r="AJ211" s="73"/>
      <c r="AK211" s="321">
        <f t="shared" si="71"/>
        <v>0</v>
      </c>
      <c r="AL211" s="73"/>
      <c r="AM211" s="291"/>
    </row>
    <row r="212" spans="1:39" hidden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205"/>
      <c r="L212" s="73"/>
      <c r="M212" s="73"/>
      <c r="N212" s="73"/>
      <c r="O212" s="73"/>
      <c r="P212" s="73"/>
      <c r="Q212" s="150"/>
      <c r="R212" s="73"/>
      <c r="S212" s="205"/>
      <c r="T212" s="73"/>
      <c r="U212" s="76"/>
      <c r="V212" s="73"/>
      <c r="W212" s="76"/>
      <c r="X212" s="321">
        <f t="shared" si="68"/>
        <v>0</v>
      </c>
      <c r="Y212" s="321"/>
      <c r="Z212" s="321">
        <f t="shared" si="69"/>
        <v>0</v>
      </c>
      <c r="AA212" s="321">
        <f t="shared" si="66"/>
        <v>0</v>
      </c>
      <c r="AB212" s="321" t="e">
        <f t="shared" si="67"/>
        <v>#DIV/0!</v>
      </c>
      <c r="AC212" s="73"/>
      <c r="AD212" s="73"/>
      <c r="AE212" s="73"/>
      <c r="AF212" s="314">
        <f t="shared" si="70"/>
        <v>0</v>
      </c>
      <c r="AG212" s="73"/>
      <c r="AH212" s="73"/>
      <c r="AI212" s="73"/>
      <c r="AJ212" s="73"/>
      <c r="AK212" s="321">
        <f t="shared" si="71"/>
        <v>0</v>
      </c>
      <c r="AL212" s="73"/>
      <c r="AM212" s="291"/>
    </row>
    <row r="213" spans="1:39" hidden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205"/>
      <c r="L213" s="73"/>
      <c r="M213" s="73"/>
      <c r="N213" s="73"/>
      <c r="O213" s="73"/>
      <c r="P213" s="73"/>
      <c r="Q213" s="150"/>
      <c r="R213" s="73"/>
      <c r="S213" s="205"/>
      <c r="T213" s="73"/>
      <c r="U213" s="76"/>
      <c r="V213" s="73"/>
      <c r="W213" s="76"/>
      <c r="X213" s="321">
        <f t="shared" si="68"/>
        <v>0</v>
      </c>
      <c r="Y213" s="321"/>
      <c r="Z213" s="321">
        <f t="shared" si="69"/>
        <v>0</v>
      </c>
      <c r="AA213" s="321">
        <f t="shared" si="66"/>
        <v>0</v>
      </c>
      <c r="AB213" s="321" t="e">
        <f t="shared" si="67"/>
        <v>#DIV/0!</v>
      </c>
      <c r="AC213" s="73"/>
      <c r="AD213" s="73"/>
      <c r="AE213" s="73"/>
      <c r="AF213" s="314">
        <f t="shared" si="70"/>
        <v>0</v>
      </c>
      <c r="AG213" s="73"/>
      <c r="AH213" s="73"/>
      <c r="AI213" s="73"/>
      <c r="AJ213" s="73"/>
      <c r="AK213" s="321">
        <f t="shared" si="71"/>
        <v>0</v>
      </c>
      <c r="AL213" s="73"/>
      <c r="AM213" s="291"/>
    </row>
    <row r="214" spans="1:39" hidden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205"/>
      <c r="L214" s="73"/>
      <c r="M214" s="73"/>
      <c r="N214" s="73"/>
      <c r="O214" s="73"/>
      <c r="P214" s="73"/>
      <c r="Q214" s="150"/>
      <c r="R214" s="73"/>
      <c r="S214" s="205"/>
      <c r="T214" s="73"/>
      <c r="U214" s="76"/>
      <c r="V214" s="73"/>
      <c r="W214" s="76"/>
      <c r="X214" s="321">
        <f t="shared" si="68"/>
        <v>0</v>
      </c>
      <c r="Y214" s="321"/>
      <c r="Z214" s="321">
        <f t="shared" si="69"/>
        <v>0</v>
      </c>
      <c r="AA214" s="321">
        <f t="shared" si="66"/>
        <v>0</v>
      </c>
      <c r="AB214" s="321" t="e">
        <f t="shared" si="67"/>
        <v>#DIV/0!</v>
      </c>
      <c r="AC214" s="73"/>
      <c r="AD214" s="73"/>
      <c r="AE214" s="73"/>
      <c r="AF214" s="314">
        <f t="shared" si="70"/>
        <v>0</v>
      </c>
      <c r="AG214" s="73"/>
      <c r="AH214" s="73"/>
      <c r="AI214" s="73"/>
      <c r="AJ214" s="73"/>
      <c r="AK214" s="321">
        <f t="shared" si="71"/>
        <v>0</v>
      </c>
      <c r="AL214" s="73"/>
      <c r="AM214" s="291"/>
    </row>
    <row r="215" spans="1:39" hidden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205"/>
      <c r="L215" s="73"/>
      <c r="M215" s="73"/>
      <c r="N215" s="73"/>
      <c r="O215" s="73"/>
      <c r="P215" s="73"/>
      <c r="Q215" s="150"/>
      <c r="R215" s="73"/>
      <c r="S215" s="205"/>
      <c r="T215" s="73"/>
      <c r="U215" s="76"/>
      <c r="V215" s="73"/>
      <c r="W215" s="76"/>
      <c r="X215" s="321">
        <f t="shared" si="68"/>
        <v>0</v>
      </c>
      <c r="Y215" s="321"/>
      <c r="Z215" s="321">
        <f t="shared" si="69"/>
        <v>0</v>
      </c>
      <c r="AA215" s="321">
        <f t="shared" si="66"/>
        <v>0</v>
      </c>
      <c r="AB215" s="321" t="e">
        <f t="shared" si="67"/>
        <v>#DIV/0!</v>
      </c>
      <c r="AC215" s="73"/>
      <c r="AD215" s="73"/>
      <c r="AE215" s="73"/>
      <c r="AF215" s="314">
        <f t="shared" si="70"/>
        <v>0</v>
      </c>
      <c r="AG215" s="73"/>
      <c r="AH215" s="73"/>
      <c r="AI215" s="73"/>
      <c r="AJ215" s="73"/>
      <c r="AK215" s="321">
        <f t="shared" si="71"/>
        <v>0</v>
      </c>
      <c r="AL215" s="73"/>
      <c r="AM215" s="291"/>
    </row>
    <row r="216" spans="1:39" hidden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205"/>
      <c r="L216" s="73"/>
      <c r="M216" s="73"/>
      <c r="N216" s="73"/>
      <c r="O216" s="73"/>
      <c r="P216" s="73"/>
      <c r="Q216" s="150"/>
      <c r="R216" s="73"/>
      <c r="S216" s="205"/>
      <c r="T216" s="73"/>
      <c r="U216" s="76"/>
      <c r="V216" s="73"/>
      <c r="W216" s="76"/>
      <c r="X216" s="321">
        <f t="shared" si="68"/>
        <v>0</v>
      </c>
      <c r="Y216" s="321"/>
      <c r="Z216" s="321">
        <f t="shared" si="69"/>
        <v>0</v>
      </c>
      <c r="AA216" s="321">
        <f t="shared" si="66"/>
        <v>0</v>
      </c>
      <c r="AB216" s="321" t="e">
        <f t="shared" si="67"/>
        <v>#DIV/0!</v>
      </c>
      <c r="AC216" s="73"/>
      <c r="AD216" s="73"/>
      <c r="AE216" s="73"/>
      <c r="AF216" s="314">
        <f t="shared" si="70"/>
        <v>0</v>
      </c>
      <c r="AG216" s="73"/>
      <c r="AH216" s="73"/>
      <c r="AI216" s="73"/>
      <c r="AJ216" s="73"/>
      <c r="AK216" s="321">
        <f t="shared" si="71"/>
        <v>0</v>
      </c>
      <c r="AL216" s="73"/>
      <c r="AM216" s="291"/>
    </row>
    <row r="217" spans="1:39" hidden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205"/>
      <c r="L217" s="73"/>
      <c r="M217" s="73"/>
      <c r="N217" s="73"/>
      <c r="O217" s="73"/>
      <c r="P217" s="73"/>
      <c r="Q217" s="150"/>
      <c r="R217" s="73"/>
      <c r="S217" s="205"/>
      <c r="T217" s="73"/>
      <c r="U217" s="76"/>
      <c r="V217" s="73"/>
      <c r="W217" s="76"/>
      <c r="X217" s="321">
        <f t="shared" si="68"/>
        <v>0</v>
      </c>
      <c r="Y217" s="321"/>
      <c r="Z217" s="321">
        <f t="shared" si="69"/>
        <v>0</v>
      </c>
      <c r="AA217" s="321">
        <f t="shared" si="66"/>
        <v>0</v>
      </c>
      <c r="AB217" s="321" t="e">
        <f t="shared" si="67"/>
        <v>#DIV/0!</v>
      </c>
      <c r="AC217" s="73"/>
      <c r="AD217" s="73"/>
      <c r="AE217" s="73"/>
      <c r="AF217" s="314">
        <f t="shared" si="70"/>
        <v>0</v>
      </c>
      <c r="AG217" s="73"/>
      <c r="AH217" s="73"/>
      <c r="AI217" s="73"/>
      <c r="AJ217" s="73"/>
      <c r="AK217" s="321">
        <f t="shared" si="71"/>
        <v>0</v>
      </c>
      <c r="AL217" s="73"/>
      <c r="AM217" s="291"/>
    </row>
    <row r="218" spans="1:39" hidden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205"/>
      <c r="L218" s="73"/>
      <c r="M218" s="73"/>
      <c r="N218" s="73"/>
      <c r="O218" s="73"/>
      <c r="P218" s="73"/>
      <c r="Q218" s="150"/>
      <c r="R218" s="73"/>
      <c r="S218" s="205"/>
      <c r="T218" s="73"/>
      <c r="U218" s="76"/>
      <c r="V218" s="73"/>
      <c r="W218" s="76"/>
      <c r="X218" s="321">
        <f t="shared" si="68"/>
        <v>0</v>
      </c>
      <c r="Y218" s="321"/>
      <c r="Z218" s="321">
        <f t="shared" si="69"/>
        <v>0</v>
      </c>
      <c r="AA218" s="321">
        <f t="shared" si="66"/>
        <v>0</v>
      </c>
      <c r="AB218" s="321" t="e">
        <f t="shared" si="67"/>
        <v>#DIV/0!</v>
      </c>
      <c r="AC218" s="73"/>
      <c r="AD218" s="73"/>
      <c r="AE218" s="73"/>
      <c r="AF218" s="314">
        <f t="shared" si="70"/>
        <v>0</v>
      </c>
      <c r="AG218" s="73"/>
      <c r="AH218" s="73"/>
      <c r="AI218" s="73"/>
      <c r="AJ218" s="73"/>
      <c r="AK218" s="321">
        <f t="shared" si="71"/>
        <v>0</v>
      </c>
      <c r="AL218" s="73"/>
      <c r="AM218" s="291"/>
    </row>
    <row r="219" spans="1:39" hidden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205"/>
      <c r="L219" s="73"/>
      <c r="M219" s="73"/>
      <c r="N219" s="73"/>
      <c r="O219" s="73"/>
      <c r="P219" s="73"/>
      <c r="Q219" s="150"/>
      <c r="R219" s="73"/>
      <c r="S219" s="205"/>
      <c r="T219" s="73"/>
      <c r="U219" s="76"/>
      <c r="V219" s="73"/>
      <c r="W219" s="76"/>
      <c r="X219" s="321">
        <f t="shared" si="68"/>
        <v>0</v>
      </c>
      <c r="Y219" s="321"/>
      <c r="Z219" s="321">
        <f t="shared" si="69"/>
        <v>0</v>
      </c>
      <c r="AA219" s="321">
        <f t="shared" si="66"/>
        <v>0</v>
      </c>
      <c r="AB219" s="321" t="e">
        <f t="shared" si="67"/>
        <v>#DIV/0!</v>
      </c>
      <c r="AC219" s="73"/>
      <c r="AD219" s="73"/>
      <c r="AE219" s="73"/>
      <c r="AF219" s="314">
        <f t="shared" si="70"/>
        <v>0</v>
      </c>
      <c r="AG219" s="73"/>
      <c r="AH219" s="73"/>
      <c r="AI219" s="73"/>
      <c r="AJ219" s="73"/>
      <c r="AK219" s="321">
        <f t="shared" si="71"/>
        <v>0</v>
      </c>
      <c r="AL219" s="73"/>
      <c r="AM219" s="291"/>
    </row>
    <row r="220" spans="1:39" hidden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205"/>
      <c r="L220" s="73"/>
      <c r="M220" s="73"/>
      <c r="N220" s="73"/>
      <c r="O220" s="73"/>
      <c r="P220" s="73"/>
      <c r="Q220" s="150"/>
      <c r="R220" s="73"/>
      <c r="S220" s="205"/>
      <c r="T220" s="73"/>
      <c r="U220" s="76"/>
      <c r="V220" s="73"/>
      <c r="W220" s="76"/>
      <c r="X220" s="321">
        <f t="shared" si="68"/>
        <v>0</v>
      </c>
      <c r="Y220" s="321"/>
      <c r="Z220" s="321">
        <f t="shared" si="69"/>
        <v>0</v>
      </c>
      <c r="AA220" s="321">
        <f t="shared" si="66"/>
        <v>0</v>
      </c>
      <c r="AB220" s="321" t="e">
        <f t="shared" si="67"/>
        <v>#DIV/0!</v>
      </c>
      <c r="AC220" s="73"/>
      <c r="AD220" s="73"/>
      <c r="AE220" s="73"/>
      <c r="AF220" s="314">
        <f t="shared" si="70"/>
        <v>0</v>
      </c>
      <c r="AG220" s="73"/>
      <c r="AH220" s="73"/>
      <c r="AI220" s="73"/>
      <c r="AJ220" s="73"/>
      <c r="AK220" s="321">
        <f t="shared" si="71"/>
        <v>0</v>
      </c>
      <c r="AL220" s="73"/>
      <c r="AM220" s="291"/>
    </row>
    <row r="221" spans="1:39" hidden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205"/>
      <c r="L221" s="73"/>
      <c r="M221" s="73"/>
      <c r="N221" s="73"/>
      <c r="O221" s="73"/>
      <c r="P221" s="73"/>
      <c r="Q221" s="150"/>
      <c r="R221" s="73"/>
      <c r="S221" s="205"/>
      <c r="T221" s="73"/>
      <c r="U221" s="76"/>
      <c r="V221" s="73"/>
      <c r="W221" s="76"/>
      <c r="X221" s="321">
        <f t="shared" si="68"/>
        <v>0</v>
      </c>
      <c r="Y221" s="321"/>
      <c r="Z221" s="321">
        <f t="shared" si="69"/>
        <v>0</v>
      </c>
      <c r="AA221" s="321">
        <f t="shared" si="66"/>
        <v>0</v>
      </c>
      <c r="AB221" s="321" t="e">
        <f t="shared" si="67"/>
        <v>#DIV/0!</v>
      </c>
      <c r="AC221" s="73"/>
      <c r="AD221" s="73"/>
      <c r="AE221" s="73"/>
      <c r="AF221" s="314">
        <f t="shared" si="70"/>
        <v>0</v>
      </c>
      <c r="AG221" s="73"/>
      <c r="AH221" s="73"/>
      <c r="AI221" s="73"/>
      <c r="AJ221" s="73"/>
      <c r="AK221" s="321">
        <f t="shared" si="71"/>
        <v>0</v>
      </c>
      <c r="AL221" s="73"/>
      <c r="AM221" s="291"/>
    </row>
    <row r="222" spans="1:39" hidden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205"/>
      <c r="L222" s="73"/>
      <c r="M222" s="73"/>
      <c r="N222" s="73"/>
      <c r="O222" s="73"/>
      <c r="P222" s="73"/>
      <c r="Q222" s="150"/>
      <c r="R222" s="73"/>
      <c r="S222" s="205"/>
      <c r="T222" s="73"/>
      <c r="U222" s="76"/>
      <c r="V222" s="73"/>
      <c r="W222" s="76"/>
      <c r="X222" s="321">
        <f t="shared" si="68"/>
        <v>0</v>
      </c>
      <c r="Y222" s="321"/>
      <c r="Z222" s="321">
        <f t="shared" si="69"/>
        <v>0</v>
      </c>
      <c r="AA222" s="321">
        <f t="shared" si="66"/>
        <v>0</v>
      </c>
      <c r="AB222" s="321" t="e">
        <f t="shared" si="67"/>
        <v>#DIV/0!</v>
      </c>
      <c r="AC222" s="73"/>
      <c r="AD222" s="73"/>
      <c r="AE222" s="73"/>
      <c r="AF222" s="314">
        <f t="shared" si="70"/>
        <v>0</v>
      </c>
      <c r="AG222" s="73"/>
      <c r="AH222" s="73"/>
      <c r="AI222" s="73"/>
      <c r="AJ222" s="73"/>
      <c r="AK222" s="321">
        <f t="shared" si="71"/>
        <v>0</v>
      </c>
      <c r="AL222" s="73"/>
      <c r="AM222" s="291"/>
    </row>
    <row r="223" spans="1:39" hidden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205"/>
      <c r="L223" s="73"/>
      <c r="M223" s="73"/>
      <c r="N223" s="73"/>
      <c r="O223" s="73"/>
      <c r="P223" s="73"/>
      <c r="Q223" s="150"/>
      <c r="R223" s="73"/>
      <c r="S223" s="205"/>
      <c r="T223" s="73"/>
      <c r="U223" s="76"/>
      <c r="V223" s="73"/>
      <c r="W223" s="76"/>
      <c r="X223" s="321">
        <f t="shared" si="68"/>
        <v>0</v>
      </c>
      <c r="Y223" s="321"/>
      <c r="Z223" s="321">
        <f t="shared" si="69"/>
        <v>0</v>
      </c>
      <c r="AA223" s="321">
        <f t="shared" si="66"/>
        <v>0</v>
      </c>
      <c r="AB223" s="321" t="e">
        <f t="shared" si="67"/>
        <v>#DIV/0!</v>
      </c>
      <c r="AC223" s="73"/>
      <c r="AD223" s="73"/>
      <c r="AE223" s="73"/>
      <c r="AF223" s="314">
        <f t="shared" si="70"/>
        <v>0</v>
      </c>
      <c r="AG223" s="73"/>
      <c r="AH223" s="73"/>
      <c r="AI223" s="73"/>
      <c r="AJ223" s="73"/>
      <c r="AK223" s="321">
        <f t="shared" si="71"/>
        <v>0</v>
      </c>
      <c r="AL223" s="73"/>
      <c r="AM223" s="291"/>
    </row>
    <row r="224" spans="1:39" hidden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205"/>
      <c r="L224" s="73"/>
      <c r="M224" s="73"/>
      <c r="N224" s="73"/>
      <c r="O224" s="73"/>
      <c r="P224" s="73"/>
      <c r="Q224" s="150"/>
      <c r="R224" s="73"/>
      <c r="S224" s="205"/>
      <c r="T224" s="73"/>
      <c r="U224" s="76"/>
      <c r="V224" s="73"/>
      <c r="W224" s="76"/>
      <c r="X224" s="321">
        <f t="shared" si="68"/>
        <v>0</v>
      </c>
      <c r="Y224" s="321"/>
      <c r="Z224" s="321">
        <f t="shared" si="69"/>
        <v>0</v>
      </c>
      <c r="AA224" s="321">
        <f t="shared" si="66"/>
        <v>0</v>
      </c>
      <c r="AB224" s="321" t="e">
        <f t="shared" si="67"/>
        <v>#DIV/0!</v>
      </c>
      <c r="AC224" s="73"/>
      <c r="AD224" s="73"/>
      <c r="AE224" s="73"/>
      <c r="AF224" s="314">
        <f t="shared" si="70"/>
        <v>0</v>
      </c>
      <c r="AG224" s="73"/>
      <c r="AH224" s="73"/>
      <c r="AI224" s="73"/>
      <c r="AJ224" s="73"/>
      <c r="AK224" s="321">
        <f t="shared" si="71"/>
        <v>0</v>
      </c>
      <c r="AL224" s="73"/>
      <c r="AM224" s="291"/>
    </row>
    <row r="225" spans="1:39" hidden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205"/>
      <c r="L225" s="73"/>
      <c r="M225" s="73"/>
      <c r="N225" s="73"/>
      <c r="O225" s="73"/>
      <c r="P225" s="73"/>
      <c r="Q225" s="150"/>
      <c r="R225" s="73"/>
      <c r="S225" s="205"/>
      <c r="T225" s="73"/>
      <c r="U225" s="76"/>
      <c r="V225" s="73"/>
      <c r="W225" s="76"/>
      <c r="X225" s="321">
        <f t="shared" si="68"/>
        <v>0</v>
      </c>
      <c r="Y225" s="321"/>
      <c r="Z225" s="321">
        <f t="shared" si="69"/>
        <v>0</v>
      </c>
      <c r="AA225" s="321">
        <f t="shared" si="66"/>
        <v>0</v>
      </c>
      <c r="AB225" s="321" t="e">
        <f t="shared" si="67"/>
        <v>#DIV/0!</v>
      </c>
      <c r="AC225" s="73"/>
      <c r="AD225" s="73"/>
      <c r="AE225" s="73"/>
      <c r="AF225" s="314">
        <f t="shared" si="70"/>
        <v>0</v>
      </c>
      <c r="AG225" s="73"/>
      <c r="AH225" s="73"/>
      <c r="AI225" s="73"/>
      <c r="AJ225" s="73"/>
      <c r="AK225" s="321">
        <f t="shared" si="71"/>
        <v>0</v>
      </c>
      <c r="AL225" s="73"/>
      <c r="AM225" s="291"/>
    </row>
    <row r="226" spans="1:39" hidden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205"/>
      <c r="L226" s="73"/>
      <c r="M226" s="73"/>
      <c r="N226" s="73"/>
      <c r="O226" s="73"/>
      <c r="P226" s="73"/>
      <c r="Q226" s="150"/>
      <c r="R226" s="73"/>
      <c r="S226" s="205"/>
      <c r="T226" s="73"/>
      <c r="U226" s="76"/>
      <c r="V226" s="73"/>
      <c r="W226" s="76"/>
      <c r="X226" s="321">
        <f t="shared" si="68"/>
        <v>0</v>
      </c>
      <c r="Y226" s="321"/>
      <c r="Z226" s="321">
        <f t="shared" si="69"/>
        <v>0</v>
      </c>
      <c r="AA226" s="321">
        <f t="shared" si="66"/>
        <v>0</v>
      </c>
      <c r="AB226" s="321" t="e">
        <f t="shared" si="67"/>
        <v>#DIV/0!</v>
      </c>
      <c r="AC226" s="73"/>
      <c r="AD226" s="73"/>
      <c r="AE226" s="73"/>
      <c r="AF226" s="314">
        <f t="shared" si="70"/>
        <v>0</v>
      </c>
      <c r="AG226" s="73"/>
      <c r="AH226" s="73"/>
      <c r="AI226" s="73"/>
      <c r="AJ226" s="73"/>
      <c r="AK226" s="321">
        <f t="shared" si="71"/>
        <v>0</v>
      </c>
      <c r="AL226" s="73"/>
      <c r="AM226" s="291"/>
    </row>
    <row r="227" spans="1:39" hidden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205"/>
      <c r="L227" s="73"/>
      <c r="M227" s="73"/>
      <c r="N227" s="73"/>
      <c r="O227" s="73"/>
      <c r="P227" s="73"/>
      <c r="Q227" s="150"/>
      <c r="R227" s="73"/>
      <c r="S227" s="205"/>
      <c r="T227" s="73"/>
      <c r="U227" s="76"/>
      <c r="V227" s="73"/>
      <c r="W227" s="76"/>
      <c r="X227" s="321">
        <f t="shared" si="68"/>
        <v>0</v>
      </c>
      <c r="Y227" s="321"/>
      <c r="Z227" s="321">
        <f t="shared" si="69"/>
        <v>0</v>
      </c>
      <c r="AA227" s="321">
        <f t="shared" si="66"/>
        <v>0</v>
      </c>
      <c r="AB227" s="321" t="e">
        <f t="shared" si="67"/>
        <v>#DIV/0!</v>
      </c>
      <c r="AC227" s="73"/>
      <c r="AD227" s="73"/>
      <c r="AE227" s="73"/>
      <c r="AF227" s="314">
        <f t="shared" si="70"/>
        <v>0</v>
      </c>
      <c r="AG227" s="73"/>
      <c r="AH227" s="73"/>
      <c r="AI227" s="73"/>
      <c r="AJ227" s="73"/>
      <c r="AK227" s="321">
        <f t="shared" si="71"/>
        <v>0</v>
      </c>
      <c r="AL227" s="73"/>
      <c r="AM227" s="291"/>
    </row>
    <row r="228" spans="1:39" hidden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205"/>
      <c r="L228" s="73"/>
      <c r="M228" s="73"/>
      <c r="N228" s="73"/>
      <c r="O228" s="73"/>
      <c r="P228" s="73"/>
      <c r="Q228" s="150"/>
      <c r="R228" s="73"/>
      <c r="S228" s="205"/>
      <c r="T228" s="73"/>
      <c r="U228" s="76"/>
      <c r="V228" s="73"/>
      <c r="W228" s="76"/>
      <c r="X228" s="321">
        <f t="shared" si="68"/>
        <v>0</v>
      </c>
      <c r="Y228" s="321"/>
      <c r="Z228" s="321">
        <f t="shared" si="69"/>
        <v>0</v>
      </c>
      <c r="AA228" s="321">
        <f t="shared" si="66"/>
        <v>0</v>
      </c>
      <c r="AB228" s="321" t="e">
        <f t="shared" si="67"/>
        <v>#DIV/0!</v>
      </c>
      <c r="AC228" s="73"/>
      <c r="AD228" s="73"/>
      <c r="AE228" s="73"/>
      <c r="AF228" s="314">
        <f t="shared" si="70"/>
        <v>0</v>
      </c>
      <c r="AG228" s="73"/>
      <c r="AH228" s="73"/>
      <c r="AI228" s="73"/>
      <c r="AJ228" s="73"/>
      <c r="AK228" s="321">
        <f t="shared" si="71"/>
        <v>0</v>
      </c>
      <c r="AL228" s="73"/>
      <c r="AM228" s="291"/>
    </row>
    <row r="229" spans="1:39" hidden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205"/>
      <c r="L229" s="73"/>
      <c r="M229" s="73"/>
      <c r="N229" s="73"/>
      <c r="O229" s="73"/>
      <c r="P229" s="73"/>
      <c r="Q229" s="150"/>
      <c r="R229" s="73"/>
      <c r="S229" s="205"/>
      <c r="T229" s="73"/>
      <c r="U229" s="76"/>
      <c r="V229" s="73"/>
      <c r="W229" s="76"/>
      <c r="X229" s="321">
        <f t="shared" si="68"/>
        <v>0</v>
      </c>
      <c r="Y229" s="321"/>
      <c r="Z229" s="321">
        <f t="shared" si="69"/>
        <v>0</v>
      </c>
      <c r="AA229" s="321">
        <f t="shared" si="66"/>
        <v>0</v>
      </c>
      <c r="AB229" s="321" t="e">
        <f t="shared" si="67"/>
        <v>#DIV/0!</v>
      </c>
      <c r="AC229" s="73"/>
      <c r="AD229" s="73"/>
      <c r="AE229" s="73"/>
      <c r="AF229" s="314">
        <f t="shared" si="70"/>
        <v>0</v>
      </c>
      <c r="AG229" s="73"/>
      <c r="AH229" s="73"/>
      <c r="AI229" s="73"/>
      <c r="AJ229" s="73"/>
      <c r="AK229" s="321">
        <f t="shared" si="71"/>
        <v>0</v>
      </c>
      <c r="AL229" s="73"/>
      <c r="AM229" s="291"/>
    </row>
    <row r="230" spans="1:39" hidden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205"/>
      <c r="L230" s="73"/>
      <c r="M230" s="73"/>
      <c r="N230" s="73"/>
      <c r="O230" s="73"/>
      <c r="P230" s="73"/>
      <c r="Q230" s="150"/>
      <c r="R230" s="73"/>
      <c r="S230" s="205"/>
      <c r="T230" s="73"/>
      <c r="U230" s="76"/>
      <c r="V230" s="73"/>
      <c r="W230" s="76"/>
      <c r="X230" s="321">
        <f t="shared" si="68"/>
        <v>0</v>
      </c>
      <c r="Y230" s="321"/>
      <c r="Z230" s="321">
        <f t="shared" si="69"/>
        <v>0</v>
      </c>
      <c r="AA230" s="321">
        <f t="shared" si="66"/>
        <v>0</v>
      </c>
      <c r="AB230" s="321" t="e">
        <f t="shared" si="67"/>
        <v>#DIV/0!</v>
      </c>
      <c r="AC230" s="73"/>
      <c r="AD230" s="73"/>
      <c r="AE230" s="73"/>
      <c r="AF230" s="314">
        <f t="shared" si="70"/>
        <v>0</v>
      </c>
      <c r="AG230" s="73"/>
      <c r="AH230" s="73"/>
      <c r="AI230" s="73"/>
      <c r="AJ230" s="73"/>
      <c r="AK230" s="321">
        <f t="shared" si="71"/>
        <v>0</v>
      </c>
      <c r="AL230" s="73"/>
      <c r="AM230" s="291"/>
    </row>
    <row r="231" spans="1:39" hidden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205"/>
      <c r="L231" s="73"/>
      <c r="M231" s="73"/>
      <c r="N231" s="73"/>
      <c r="O231" s="73"/>
      <c r="P231" s="73"/>
      <c r="Q231" s="150"/>
      <c r="R231" s="73"/>
      <c r="S231" s="205"/>
      <c r="T231" s="73"/>
      <c r="U231" s="76"/>
      <c r="V231" s="73"/>
      <c r="W231" s="76"/>
      <c r="X231" s="321">
        <f t="shared" si="68"/>
        <v>0</v>
      </c>
      <c r="Y231" s="321"/>
      <c r="Z231" s="321">
        <f t="shared" si="69"/>
        <v>0</v>
      </c>
      <c r="AA231" s="321">
        <f t="shared" si="66"/>
        <v>0</v>
      </c>
      <c r="AB231" s="321" t="e">
        <f t="shared" si="67"/>
        <v>#DIV/0!</v>
      </c>
      <c r="AC231" s="73"/>
      <c r="AD231" s="73"/>
      <c r="AE231" s="73"/>
      <c r="AF231" s="314">
        <f t="shared" si="70"/>
        <v>0</v>
      </c>
      <c r="AG231" s="73"/>
      <c r="AH231" s="73"/>
      <c r="AI231" s="73"/>
      <c r="AJ231" s="73"/>
      <c r="AK231" s="321">
        <f t="shared" si="71"/>
        <v>0</v>
      </c>
      <c r="AL231" s="73"/>
      <c r="AM231" s="291"/>
    </row>
    <row r="232" spans="1:39" hidden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205"/>
      <c r="L232" s="73"/>
      <c r="M232" s="73"/>
      <c r="N232" s="73"/>
      <c r="O232" s="73"/>
      <c r="P232" s="73"/>
      <c r="Q232" s="150"/>
      <c r="R232" s="73"/>
      <c r="S232" s="205"/>
      <c r="T232" s="73"/>
      <c r="U232" s="76"/>
      <c r="V232" s="73"/>
      <c r="W232" s="76"/>
      <c r="X232" s="321">
        <f t="shared" si="68"/>
        <v>0</v>
      </c>
      <c r="Y232" s="321"/>
      <c r="Z232" s="321">
        <f t="shared" si="69"/>
        <v>0</v>
      </c>
      <c r="AA232" s="321">
        <f t="shared" si="66"/>
        <v>0</v>
      </c>
      <c r="AB232" s="321" t="e">
        <f t="shared" si="67"/>
        <v>#DIV/0!</v>
      </c>
      <c r="AC232" s="73"/>
      <c r="AD232" s="73"/>
      <c r="AE232" s="73"/>
      <c r="AF232" s="314">
        <f t="shared" si="70"/>
        <v>0</v>
      </c>
      <c r="AG232" s="73"/>
      <c r="AH232" s="73"/>
      <c r="AI232" s="73"/>
      <c r="AJ232" s="73"/>
      <c r="AK232" s="321">
        <f t="shared" si="71"/>
        <v>0</v>
      </c>
      <c r="AL232" s="73"/>
      <c r="AM232" s="291"/>
    </row>
    <row r="233" spans="1:39" hidden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205"/>
      <c r="L233" s="73"/>
      <c r="M233" s="73"/>
      <c r="N233" s="73"/>
      <c r="O233" s="73"/>
      <c r="P233" s="73"/>
      <c r="Q233" s="150"/>
      <c r="R233" s="73"/>
      <c r="S233" s="205"/>
      <c r="T233" s="73"/>
      <c r="U233" s="76"/>
      <c r="V233" s="73"/>
      <c r="W233" s="76"/>
      <c r="X233" s="321">
        <f t="shared" si="68"/>
        <v>0</v>
      </c>
      <c r="Y233" s="321"/>
      <c r="Z233" s="321">
        <f t="shared" si="69"/>
        <v>0</v>
      </c>
      <c r="AA233" s="321">
        <f t="shared" si="66"/>
        <v>0</v>
      </c>
      <c r="AB233" s="321" t="e">
        <f t="shared" si="67"/>
        <v>#DIV/0!</v>
      </c>
      <c r="AC233" s="73"/>
      <c r="AD233" s="73"/>
      <c r="AE233" s="73"/>
      <c r="AF233" s="314">
        <f t="shared" si="70"/>
        <v>0</v>
      </c>
      <c r="AG233" s="73"/>
      <c r="AH233" s="73"/>
      <c r="AI233" s="73"/>
      <c r="AJ233" s="73"/>
      <c r="AK233" s="321">
        <f t="shared" si="71"/>
        <v>0</v>
      </c>
      <c r="AL233" s="73"/>
      <c r="AM233" s="291"/>
    </row>
    <row r="234" spans="1:39" hidden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205"/>
      <c r="L234" s="73"/>
      <c r="M234" s="73"/>
      <c r="N234" s="73"/>
      <c r="O234" s="73"/>
      <c r="P234" s="73"/>
      <c r="Q234" s="150"/>
      <c r="R234" s="73"/>
      <c r="S234" s="205"/>
      <c r="T234" s="73"/>
      <c r="U234" s="76"/>
      <c r="V234" s="73"/>
      <c r="W234" s="76"/>
      <c r="X234" s="321">
        <f t="shared" si="68"/>
        <v>0</v>
      </c>
      <c r="Y234" s="321"/>
      <c r="Z234" s="321">
        <f t="shared" si="69"/>
        <v>0</v>
      </c>
      <c r="AA234" s="321">
        <f t="shared" si="66"/>
        <v>0</v>
      </c>
      <c r="AB234" s="321" t="e">
        <f t="shared" si="67"/>
        <v>#DIV/0!</v>
      </c>
      <c r="AC234" s="73"/>
      <c r="AD234" s="73"/>
      <c r="AE234" s="73"/>
      <c r="AF234" s="314">
        <f t="shared" si="70"/>
        <v>0</v>
      </c>
      <c r="AG234" s="73"/>
      <c r="AH234" s="73"/>
      <c r="AI234" s="73"/>
      <c r="AJ234" s="73"/>
      <c r="AK234" s="321">
        <f t="shared" si="71"/>
        <v>0</v>
      </c>
      <c r="AL234" s="73"/>
      <c r="AM234" s="291"/>
    </row>
    <row r="235" spans="1:39" hidden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205"/>
      <c r="L235" s="73"/>
      <c r="M235" s="73"/>
      <c r="N235" s="73"/>
      <c r="O235" s="73"/>
      <c r="P235" s="73"/>
      <c r="Q235" s="150"/>
      <c r="R235" s="73"/>
      <c r="S235" s="205"/>
      <c r="T235" s="73"/>
      <c r="U235" s="76"/>
      <c r="V235" s="73"/>
      <c r="W235" s="76"/>
      <c r="X235" s="321">
        <f t="shared" si="68"/>
        <v>0</v>
      </c>
      <c r="Y235" s="321"/>
      <c r="Z235" s="321">
        <f t="shared" si="69"/>
        <v>0</v>
      </c>
      <c r="AA235" s="321">
        <f t="shared" si="66"/>
        <v>0</v>
      </c>
      <c r="AB235" s="321" t="e">
        <f t="shared" si="67"/>
        <v>#DIV/0!</v>
      </c>
      <c r="AC235" s="73"/>
      <c r="AD235" s="73"/>
      <c r="AE235" s="73"/>
      <c r="AF235" s="314">
        <f t="shared" si="70"/>
        <v>0</v>
      </c>
      <c r="AG235" s="73"/>
      <c r="AH235" s="73"/>
      <c r="AI235" s="73"/>
      <c r="AJ235" s="73"/>
      <c r="AK235" s="321">
        <f t="shared" si="71"/>
        <v>0</v>
      </c>
      <c r="AL235" s="73"/>
      <c r="AM235" s="291"/>
    </row>
    <row r="236" spans="1:39" hidden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205"/>
      <c r="L236" s="73"/>
      <c r="M236" s="73"/>
      <c r="N236" s="73"/>
      <c r="O236" s="73"/>
      <c r="P236" s="73"/>
      <c r="Q236" s="150"/>
      <c r="R236" s="73"/>
      <c r="S236" s="205"/>
      <c r="T236" s="73"/>
      <c r="U236" s="76"/>
      <c r="V236" s="73"/>
      <c r="W236" s="76"/>
      <c r="X236" s="321">
        <f t="shared" si="68"/>
        <v>0</v>
      </c>
      <c r="Y236" s="321"/>
      <c r="Z236" s="321">
        <f t="shared" si="69"/>
        <v>0</v>
      </c>
      <c r="AA236" s="321">
        <f t="shared" si="66"/>
        <v>0</v>
      </c>
      <c r="AB236" s="321" t="e">
        <f t="shared" si="67"/>
        <v>#DIV/0!</v>
      </c>
      <c r="AC236" s="73"/>
      <c r="AD236" s="73"/>
      <c r="AE236" s="73"/>
      <c r="AF236" s="314">
        <f t="shared" si="70"/>
        <v>0</v>
      </c>
      <c r="AG236" s="73"/>
      <c r="AH236" s="73"/>
      <c r="AI236" s="73"/>
      <c r="AJ236" s="73"/>
      <c r="AK236" s="321">
        <f t="shared" si="71"/>
        <v>0</v>
      </c>
      <c r="AL236" s="73"/>
      <c r="AM236" s="291"/>
    </row>
    <row r="237" spans="1:39" hidden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205"/>
      <c r="L237" s="73"/>
      <c r="M237" s="73"/>
      <c r="N237" s="73"/>
      <c r="O237" s="73"/>
      <c r="P237" s="73"/>
      <c r="Q237" s="150"/>
      <c r="R237" s="73"/>
      <c r="S237" s="205"/>
      <c r="T237" s="73"/>
      <c r="U237" s="76"/>
      <c r="V237" s="73"/>
      <c r="W237" s="76"/>
      <c r="X237" s="321">
        <f t="shared" si="68"/>
        <v>0</v>
      </c>
      <c r="Y237" s="321"/>
      <c r="Z237" s="321">
        <f t="shared" si="69"/>
        <v>0</v>
      </c>
      <c r="AA237" s="321">
        <f t="shared" si="66"/>
        <v>0</v>
      </c>
      <c r="AB237" s="321" t="e">
        <f t="shared" si="67"/>
        <v>#DIV/0!</v>
      </c>
      <c r="AC237" s="73"/>
      <c r="AD237" s="73"/>
      <c r="AE237" s="73"/>
      <c r="AF237" s="314">
        <f t="shared" si="70"/>
        <v>0</v>
      </c>
      <c r="AG237" s="73"/>
      <c r="AH237" s="73"/>
      <c r="AI237" s="73"/>
      <c r="AJ237" s="73"/>
      <c r="AK237" s="321">
        <f t="shared" si="71"/>
        <v>0</v>
      </c>
      <c r="AL237" s="73"/>
      <c r="AM237" s="291"/>
    </row>
    <row r="238" spans="1:39" hidden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205"/>
      <c r="L238" s="73"/>
      <c r="M238" s="73"/>
      <c r="N238" s="73"/>
      <c r="O238" s="73"/>
      <c r="P238" s="73"/>
      <c r="Q238" s="150"/>
      <c r="R238" s="73"/>
      <c r="S238" s="205"/>
      <c r="T238" s="73"/>
      <c r="U238" s="76"/>
      <c r="V238" s="73"/>
      <c r="W238" s="76"/>
      <c r="X238" s="321">
        <f t="shared" si="68"/>
        <v>0</v>
      </c>
      <c r="Y238" s="321"/>
      <c r="Z238" s="321">
        <f t="shared" si="69"/>
        <v>0</v>
      </c>
      <c r="AA238" s="321">
        <f t="shared" si="66"/>
        <v>0</v>
      </c>
      <c r="AB238" s="321" t="e">
        <f t="shared" si="67"/>
        <v>#DIV/0!</v>
      </c>
      <c r="AC238" s="73"/>
      <c r="AD238" s="73"/>
      <c r="AE238" s="73"/>
      <c r="AF238" s="314">
        <f t="shared" si="70"/>
        <v>0</v>
      </c>
      <c r="AG238" s="73"/>
      <c r="AH238" s="73"/>
      <c r="AI238" s="73"/>
      <c r="AJ238" s="73"/>
      <c r="AK238" s="321">
        <f t="shared" si="71"/>
        <v>0</v>
      </c>
      <c r="AL238" s="73"/>
      <c r="AM238" s="291"/>
    </row>
    <row r="239" spans="1:39" hidden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205"/>
      <c r="L239" s="73"/>
      <c r="M239" s="73"/>
      <c r="N239" s="73"/>
      <c r="O239" s="73"/>
      <c r="P239" s="73"/>
      <c r="Q239" s="150"/>
      <c r="R239" s="73"/>
      <c r="S239" s="205"/>
      <c r="T239" s="73"/>
      <c r="U239" s="76"/>
      <c r="V239" s="73"/>
      <c r="W239" s="76"/>
      <c r="X239" s="321">
        <f t="shared" si="68"/>
        <v>0</v>
      </c>
      <c r="Y239" s="321"/>
      <c r="Z239" s="321">
        <f t="shared" si="69"/>
        <v>0</v>
      </c>
      <c r="AA239" s="321">
        <f t="shared" si="66"/>
        <v>0</v>
      </c>
      <c r="AB239" s="321" t="e">
        <f t="shared" si="67"/>
        <v>#DIV/0!</v>
      </c>
      <c r="AC239" s="73"/>
      <c r="AD239" s="73"/>
      <c r="AE239" s="73"/>
      <c r="AF239" s="314">
        <f t="shared" si="70"/>
        <v>0</v>
      </c>
      <c r="AG239" s="73"/>
      <c r="AH239" s="73"/>
      <c r="AI239" s="73"/>
      <c r="AJ239" s="73"/>
      <c r="AK239" s="321">
        <f t="shared" si="71"/>
        <v>0</v>
      </c>
      <c r="AL239" s="73"/>
      <c r="AM239" s="291"/>
    </row>
    <row r="240" spans="1:39" hidden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205"/>
      <c r="L240" s="73"/>
      <c r="M240" s="73"/>
      <c r="N240" s="73"/>
      <c r="O240" s="73"/>
      <c r="P240" s="73"/>
      <c r="Q240" s="150"/>
      <c r="R240" s="73"/>
      <c r="S240" s="205"/>
      <c r="T240" s="73"/>
      <c r="U240" s="76"/>
      <c r="V240" s="73"/>
      <c r="W240" s="76"/>
      <c r="X240" s="321">
        <f t="shared" si="68"/>
        <v>0</v>
      </c>
      <c r="Y240" s="321"/>
      <c r="Z240" s="321">
        <f t="shared" si="69"/>
        <v>0</v>
      </c>
      <c r="AA240" s="321">
        <f t="shared" si="66"/>
        <v>0</v>
      </c>
      <c r="AB240" s="321" t="e">
        <f t="shared" si="67"/>
        <v>#DIV/0!</v>
      </c>
      <c r="AC240" s="73"/>
      <c r="AD240" s="73"/>
      <c r="AE240" s="73"/>
      <c r="AF240" s="314">
        <f t="shared" si="70"/>
        <v>0</v>
      </c>
      <c r="AG240" s="73"/>
      <c r="AH240" s="73"/>
      <c r="AI240" s="73"/>
      <c r="AJ240" s="73"/>
      <c r="AK240" s="321">
        <f t="shared" si="71"/>
        <v>0</v>
      </c>
      <c r="AL240" s="73"/>
      <c r="AM240" s="291"/>
    </row>
    <row r="242" spans="17:19">
      <c r="Q242" s="463">
        <v>8290.6299999999992</v>
      </c>
      <c r="S242" s="464"/>
    </row>
    <row r="243" spans="17:19">
      <c r="Q243" s="465">
        <f>Q242-Q78</f>
        <v>14.389999999999418</v>
      </c>
      <c r="S243" s="464"/>
    </row>
  </sheetData>
  <mergeCells count="37">
    <mergeCell ref="A78:N78"/>
    <mergeCell ref="U7:W7"/>
    <mergeCell ref="X7:AB7"/>
    <mergeCell ref="AC7:AG7"/>
    <mergeCell ref="AI7:AL7"/>
    <mergeCell ref="AI9:AL9"/>
    <mergeCell ref="A13:A19"/>
    <mergeCell ref="AH6:AH7"/>
    <mergeCell ref="F6:F8"/>
    <mergeCell ref="G6:G8"/>
    <mergeCell ref="H6:H8"/>
    <mergeCell ref="A6:A8"/>
    <mergeCell ref="B6:B8"/>
    <mergeCell ref="C6:C8"/>
    <mergeCell ref="D6:D8"/>
    <mergeCell ref="E6:E8"/>
    <mergeCell ref="AM6:AM7"/>
    <mergeCell ref="I7:I8"/>
    <mergeCell ref="J7:J8"/>
    <mergeCell ref="K7:K8"/>
    <mergeCell ref="L7:L8"/>
    <mergeCell ref="M7:M8"/>
    <mergeCell ref="N7:N8"/>
    <mergeCell ref="O7:O8"/>
    <mergeCell ref="P7:P8"/>
    <mergeCell ref="I6:N6"/>
    <mergeCell ref="Q6:W6"/>
    <mergeCell ref="X6:AG6"/>
    <mergeCell ref="Q7:Q8"/>
    <mergeCell ref="R7:R8"/>
    <mergeCell ref="S7:S8"/>
    <mergeCell ref="T7:T8"/>
    <mergeCell ref="A1:W1"/>
    <mergeCell ref="B3:W3"/>
    <mergeCell ref="B4:W4"/>
    <mergeCell ref="X5:Z5"/>
    <mergeCell ref="AI5:AK5"/>
  </mergeCells>
  <printOptions horizontalCentered="1"/>
  <pageMargins left="0.25" right="0.25" top="0.75" bottom="0.75" header="0.3" footer="0.3"/>
  <pageSetup paperSize="5" scale="42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20D1-B6A3-449F-B3CC-6BEFB0F1DA8B}">
  <dimension ref="A1:AM79"/>
  <sheetViews>
    <sheetView tabSelected="1" view="pageBreakPreview" zoomScale="80" zoomScaleNormal="100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E17" sqref="E17"/>
    </sheetView>
  </sheetViews>
  <sheetFormatPr defaultColWidth="9.28515625" defaultRowHeight="12.75"/>
  <cols>
    <col min="1" max="1" width="3.7109375" style="119" customWidth="1"/>
    <col min="2" max="2" width="52.7109375" style="119" customWidth="1"/>
    <col min="3" max="3" width="31.28515625" style="119" customWidth="1"/>
    <col min="4" max="4" width="12" style="119" customWidth="1"/>
    <col min="5" max="5" width="13.7109375" style="286" customWidth="1"/>
    <col min="6" max="6" width="9" style="119" customWidth="1"/>
    <col min="7" max="7" width="9.5703125" style="119" customWidth="1"/>
    <col min="8" max="8" width="8.85546875" style="119" customWidth="1"/>
    <col min="9" max="9" width="7.5703125" style="286" customWidth="1"/>
    <col min="10" max="10" width="8.7109375" style="119" customWidth="1"/>
    <col min="11" max="11" width="10.42578125" style="580" customWidth="1"/>
    <col min="12" max="13" width="14" style="119" customWidth="1"/>
    <col min="14" max="14" width="3.140625" style="119" bestFit="1" customWidth="1"/>
    <col min="15" max="15" width="14" style="119" customWidth="1"/>
    <col min="16" max="16" width="2.85546875" style="119" bestFit="1" customWidth="1"/>
    <col min="17" max="17" width="16" style="119" customWidth="1"/>
    <col min="18" max="18" width="9.85546875" style="119" customWidth="1"/>
    <col min="19" max="19" width="15.7109375" style="580" customWidth="1"/>
    <col min="20" max="20" width="13.140625" style="119" bestFit="1" customWidth="1"/>
    <col min="21" max="21" width="15.28515625" style="286" customWidth="1"/>
    <col min="22" max="22" width="9.85546875" style="119" bestFit="1" customWidth="1"/>
    <col min="23" max="23" width="11.42578125" style="286" bestFit="1" customWidth="1"/>
    <col min="24" max="24" width="11.42578125" style="119" bestFit="1" customWidth="1"/>
    <col min="25" max="25" width="9.85546875" style="119" customWidth="1"/>
    <col min="26" max="26" width="9.85546875" style="119" bestFit="1" customWidth="1"/>
    <col min="27" max="27" width="11.42578125" style="119" bestFit="1" customWidth="1"/>
    <col min="28" max="28" width="7.28515625" style="119" customWidth="1"/>
    <col min="29" max="29" width="12.140625" style="119" customWidth="1"/>
    <col min="30" max="30" width="9.5703125" style="119" customWidth="1"/>
    <col min="31" max="31" width="9.85546875" style="119" bestFit="1" customWidth="1"/>
    <col min="32" max="32" width="11.42578125" style="119" bestFit="1" customWidth="1"/>
    <col min="33" max="33" width="7.28515625" style="119" bestFit="1" customWidth="1"/>
    <col min="34" max="34" width="10.5703125" style="119" customWidth="1"/>
    <col min="35" max="35" width="7.85546875" style="119" hidden="1" customWidth="1"/>
    <col min="36" max="36" width="6.42578125" style="119" hidden="1" customWidth="1"/>
    <col min="37" max="37" width="9" style="119" hidden="1" customWidth="1"/>
    <col min="38" max="38" width="7.7109375" style="119" hidden="1" customWidth="1"/>
    <col min="39" max="39" width="7.28515625" style="119" hidden="1" customWidth="1"/>
    <col min="40" max="16384" width="9.28515625" style="119"/>
  </cols>
  <sheetData>
    <row r="1" spans="1:39">
      <c r="B1" s="77" t="s">
        <v>483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1:39">
      <c r="A2" s="73"/>
      <c r="B2" s="649" t="s">
        <v>71</v>
      </c>
      <c r="C2" s="649"/>
      <c r="D2" s="649"/>
      <c r="E2" s="649"/>
      <c r="F2" s="649"/>
      <c r="G2" s="649"/>
      <c r="H2" s="649"/>
      <c r="I2" s="649"/>
      <c r="J2" s="649"/>
      <c r="K2" s="649"/>
      <c r="L2" s="73"/>
      <c r="M2" s="73"/>
      <c r="N2" s="73"/>
      <c r="O2" s="73"/>
      <c r="P2" s="73"/>
      <c r="Q2" s="73"/>
      <c r="R2" s="73"/>
      <c r="S2" s="467"/>
      <c r="T2" s="73"/>
      <c r="U2" s="76"/>
      <c r="V2" s="73"/>
      <c r="W2" s="76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ht="15">
      <c r="A3" s="73"/>
      <c r="B3" s="650" t="s">
        <v>484</v>
      </c>
      <c r="C3" s="651"/>
      <c r="D3" s="651"/>
      <c r="E3" s="651"/>
      <c r="F3" s="651"/>
      <c r="G3" s="651"/>
      <c r="H3" s="651"/>
      <c r="I3" s="651"/>
      <c r="J3" s="651"/>
      <c r="K3" s="651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39" ht="15.75">
      <c r="A4" s="73"/>
      <c r="B4" s="293" t="s">
        <v>73</v>
      </c>
      <c r="C4" s="293"/>
      <c r="D4" s="293"/>
      <c r="E4" s="296"/>
      <c r="F4" s="293"/>
      <c r="G4" s="293"/>
      <c r="H4" s="293"/>
      <c r="I4" s="296"/>
      <c r="J4" s="293"/>
      <c r="K4" s="468"/>
      <c r="L4" s="73"/>
      <c r="M4" s="73"/>
      <c r="N4" s="73"/>
      <c r="O4" s="73"/>
      <c r="P4" s="73"/>
      <c r="Q4" s="73"/>
      <c r="R4" s="73"/>
      <c r="S4" s="467"/>
      <c r="T4" s="73"/>
      <c r="U4" s="76"/>
      <c r="V4" s="73"/>
      <c r="W4" s="76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ht="18" customHeight="1">
      <c r="A5" s="73"/>
      <c r="B5" s="297" t="s">
        <v>357</v>
      </c>
      <c r="C5" s="293"/>
      <c r="D5" s="293"/>
      <c r="E5" s="296"/>
      <c r="F5" s="293"/>
      <c r="G5" s="293"/>
      <c r="H5" s="293"/>
      <c r="I5" s="296"/>
      <c r="J5" s="293"/>
      <c r="K5" s="468"/>
      <c r="L5" s="73"/>
      <c r="M5" s="73"/>
      <c r="N5" s="73"/>
      <c r="O5" s="73"/>
      <c r="P5" s="73"/>
      <c r="Q5" s="73"/>
      <c r="R5" s="73"/>
      <c r="S5" s="467"/>
      <c r="T5" s="73"/>
      <c r="U5" s="76"/>
      <c r="V5" s="73"/>
      <c r="W5" s="76"/>
      <c r="X5" s="73"/>
      <c r="Y5" s="73"/>
      <c r="Z5" s="73"/>
      <c r="AA5" s="73"/>
      <c r="AB5" s="73"/>
      <c r="AC5" s="73"/>
      <c r="AD5" s="73"/>
      <c r="AE5" s="73"/>
      <c r="AF5" s="643" t="s">
        <v>150</v>
      </c>
      <c r="AG5" s="643"/>
      <c r="AH5" s="643"/>
      <c r="AI5" s="643" t="s">
        <v>150</v>
      </c>
      <c r="AJ5" s="643"/>
      <c r="AK5" s="643"/>
      <c r="AL5" s="126"/>
      <c r="AM5" s="73"/>
    </row>
    <row r="6" spans="1:39" ht="44.25" customHeight="1">
      <c r="A6" s="620"/>
      <c r="B6" s="644" t="s">
        <v>358</v>
      </c>
      <c r="C6" s="644" t="s">
        <v>152</v>
      </c>
      <c r="D6" s="644" t="s">
        <v>153</v>
      </c>
      <c r="E6" s="644" t="s">
        <v>359</v>
      </c>
      <c r="F6" s="644" t="s">
        <v>155</v>
      </c>
      <c r="G6" s="644" t="s">
        <v>360</v>
      </c>
      <c r="H6" s="621" t="s">
        <v>592</v>
      </c>
      <c r="I6" s="644" t="s">
        <v>361</v>
      </c>
      <c r="J6" s="644"/>
      <c r="K6" s="644"/>
      <c r="L6" s="644"/>
      <c r="M6" s="644"/>
      <c r="N6" s="644"/>
      <c r="O6" s="644"/>
      <c r="P6" s="644"/>
      <c r="Q6" s="644" t="s">
        <v>362</v>
      </c>
      <c r="R6" s="644"/>
      <c r="S6" s="644"/>
      <c r="T6" s="644"/>
      <c r="U6" s="644"/>
      <c r="V6" s="644"/>
      <c r="W6" s="644"/>
      <c r="X6" s="624" t="s">
        <v>158</v>
      </c>
      <c r="Y6" s="625"/>
      <c r="Z6" s="625"/>
      <c r="AA6" s="625"/>
      <c r="AB6" s="625"/>
      <c r="AC6" s="625"/>
      <c r="AD6" s="625"/>
      <c r="AE6" s="625"/>
      <c r="AF6" s="625"/>
      <c r="AG6" s="626"/>
      <c r="AH6" s="644" t="s">
        <v>159</v>
      </c>
      <c r="AI6" s="243"/>
      <c r="AJ6" s="243"/>
      <c r="AK6" s="243"/>
      <c r="AL6" s="243"/>
      <c r="AM6" s="636" t="s">
        <v>159</v>
      </c>
    </row>
    <row r="7" spans="1:39" ht="27" customHeight="1">
      <c r="A7" s="620"/>
      <c r="B7" s="644"/>
      <c r="C7" s="644"/>
      <c r="D7" s="644"/>
      <c r="E7" s="644"/>
      <c r="F7" s="644"/>
      <c r="G7" s="644"/>
      <c r="H7" s="622"/>
      <c r="I7" s="644" t="s">
        <v>160</v>
      </c>
      <c r="J7" s="644" t="s">
        <v>363</v>
      </c>
      <c r="K7" s="644" t="s">
        <v>485</v>
      </c>
      <c r="L7" s="644" t="s">
        <v>163</v>
      </c>
      <c r="M7" s="644" t="s">
        <v>164</v>
      </c>
      <c r="N7" s="621" t="s">
        <v>0</v>
      </c>
      <c r="O7" s="644" t="s">
        <v>165</v>
      </c>
      <c r="P7" s="621" t="s">
        <v>0</v>
      </c>
      <c r="Q7" s="644" t="s">
        <v>160</v>
      </c>
      <c r="R7" s="644" t="s">
        <v>363</v>
      </c>
      <c r="S7" s="653" t="s">
        <v>485</v>
      </c>
      <c r="T7" s="644" t="s">
        <v>166</v>
      </c>
      <c r="U7" s="625" t="s">
        <v>167</v>
      </c>
      <c r="V7" s="625"/>
      <c r="W7" s="626"/>
      <c r="X7" s="624" t="s">
        <v>168</v>
      </c>
      <c r="Y7" s="625"/>
      <c r="Z7" s="625"/>
      <c r="AA7" s="625"/>
      <c r="AB7" s="626"/>
      <c r="AC7" s="644" t="s">
        <v>169</v>
      </c>
      <c r="AD7" s="644"/>
      <c r="AE7" s="644"/>
      <c r="AF7" s="644"/>
      <c r="AG7" s="644"/>
      <c r="AH7" s="644"/>
      <c r="AI7" s="644" t="s">
        <v>170</v>
      </c>
      <c r="AJ7" s="644"/>
      <c r="AK7" s="644"/>
      <c r="AL7" s="644"/>
      <c r="AM7" s="636"/>
    </row>
    <row r="8" spans="1:39" ht="37.5" customHeight="1">
      <c r="A8" s="620"/>
      <c r="B8" s="644"/>
      <c r="C8" s="644"/>
      <c r="D8" s="644"/>
      <c r="E8" s="644"/>
      <c r="F8" s="644"/>
      <c r="G8" s="644"/>
      <c r="H8" s="623"/>
      <c r="I8" s="644"/>
      <c r="J8" s="644"/>
      <c r="K8" s="644"/>
      <c r="L8" s="644"/>
      <c r="M8" s="644"/>
      <c r="N8" s="623"/>
      <c r="O8" s="644"/>
      <c r="P8" s="623"/>
      <c r="Q8" s="644"/>
      <c r="R8" s="644"/>
      <c r="S8" s="653"/>
      <c r="T8" s="644"/>
      <c r="U8" s="131" t="s">
        <v>486</v>
      </c>
      <c r="V8" s="131" t="s">
        <v>487</v>
      </c>
      <c r="W8" s="131" t="s">
        <v>1</v>
      </c>
      <c r="X8" s="131" t="s">
        <v>486</v>
      </c>
      <c r="Y8" s="131" t="s">
        <v>487</v>
      </c>
      <c r="Z8" s="131" t="s">
        <v>1</v>
      </c>
      <c r="AA8" s="131" t="s">
        <v>2</v>
      </c>
      <c r="AB8" s="131" t="s">
        <v>0</v>
      </c>
      <c r="AC8" s="131" t="s">
        <v>486</v>
      </c>
      <c r="AD8" s="131" t="s">
        <v>487</v>
      </c>
      <c r="AE8" s="131" t="s">
        <v>1</v>
      </c>
      <c r="AF8" s="131" t="s">
        <v>2</v>
      </c>
      <c r="AG8" s="131" t="s">
        <v>0</v>
      </c>
      <c r="AH8" s="131"/>
      <c r="AI8" s="131" t="s">
        <v>172</v>
      </c>
      <c r="AJ8" s="131" t="s">
        <v>1</v>
      </c>
      <c r="AK8" s="131" t="s">
        <v>2</v>
      </c>
      <c r="AL8" s="131" t="s">
        <v>0</v>
      </c>
      <c r="AM8" s="308"/>
    </row>
    <row r="9" spans="1:39">
      <c r="A9" s="469"/>
      <c r="B9" s="130" t="s">
        <v>173</v>
      </c>
      <c r="C9" s="130" t="s">
        <v>174</v>
      </c>
      <c r="D9" s="130" t="s">
        <v>175</v>
      </c>
      <c r="E9" s="130" t="s">
        <v>176</v>
      </c>
      <c r="F9" s="130" t="s">
        <v>177</v>
      </c>
      <c r="G9" s="130" t="s">
        <v>178</v>
      </c>
      <c r="H9" s="130" t="s">
        <v>179</v>
      </c>
      <c r="I9" s="133" t="s">
        <v>180</v>
      </c>
      <c r="J9" s="130" t="s">
        <v>181</v>
      </c>
      <c r="K9" s="134" t="s">
        <v>182</v>
      </c>
      <c r="L9" s="130" t="s">
        <v>183</v>
      </c>
      <c r="M9" s="130" t="s">
        <v>184</v>
      </c>
      <c r="N9" s="135" t="s">
        <v>185</v>
      </c>
      <c r="O9" s="130" t="s">
        <v>186</v>
      </c>
      <c r="P9" s="135" t="s">
        <v>187</v>
      </c>
      <c r="Q9" s="133" t="s">
        <v>188</v>
      </c>
      <c r="R9" s="130" t="s">
        <v>189</v>
      </c>
      <c r="S9" s="134" t="s">
        <v>190</v>
      </c>
      <c r="T9" s="130" t="s">
        <v>191</v>
      </c>
      <c r="U9" s="131" t="s">
        <v>192</v>
      </c>
      <c r="V9" s="131" t="s">
        <v>193</v>
      </c>
      <c r="W9" s="131" t="s">
        <v>194</v>
      </c>
      <c r="X9" s="131" t="s">
        <v>195</v>
      </c>
      <c r="Y9" s="131" t="s">
        <v>196</v>
      </c>
      <c r="Z9" s="131" t="s">
        <v>197</v>
      </c>
      <c r="AA9" s="131" t="s">
        <v>198</v>
      </c>
      <c r="AB9" s="131" t="s">
        <v>199</v>
      </c>
      <c r="AC9" s="131" t="s">
        <v>200</v>
      </c>
      <c r="AD9" s="131" t="s">
        <v>201</v>
      </c>
      <c r="AE9" s="131" t="s">
        <v>202</v>
      </c>
      <c r="AF9" s="131" t="s">
        <v>203</v>
      </c>
      <c r="AG9" s="131" t="s">
        <v>204</v>
      </c>
      <c r="AH9" s="131" t="s">
        <v>205</v>
      </c>
      <c r="AI9" s="644" t="s">
        <v>195</v>
      </c>
      <c r="AJ9" s="644"/>
      <c r="AK9" s="644"/>
      <c r="AL9" s="644"/>
      <c r="AM9" s="131" t="s">
        <v>196</v>
      </c>
    </row>
    <row r="10" spans="1:39" ht="40.9" customHeight="1">
      <c r="A10" s="469"/>
      <c r="B10" s="469" t="s">
        <v>488</v>
      </c>
      <c r="C10" s="402" t="s">
        <v>489</v>
      </c>
      <c r="D10" s="402"/>
      <c r="E10" s="132"/>
      <c r="F10" s="132"/>
      <c r="G10" s="132"/>
      <c r="H10" s="132"/>
      <c r="I10" s="132"/>
      <c r="J10" s="132"/>
      <c r="K10" s="130"/>
      <c r="L10" s="132"/>
      <c r="M10" s="132"/>
      <c r="N10" s="132"/>
      <c r="O10" s="132"/>
      <c r="P10" s="132"/>
      <c r="Q10" s="392"/>
      <c r="R10" s="392"/>
      <c r="S10" s="470"/>
      <c r="T10" s="308"/>
      <c r="U10" s="132"/>
      <c r="V10" s="469"/>
      <c r="W10" s="132"/>
      <c r="X10" s="132"/>
      <c r="Y10" s="132"/>
      <c r="Z10" s="132"/>
      <c r="AA10" s="132"/>
      <c r="AB10" s="471"/>
      <c r="AC10" s="471"/>
      <c r="AD10" s="471"/>
      <c r="AE10" s="471"/>
      <c r="AF10" s="471"/>
      <c r="AG10" s="471"/>
      <c r="AH10" s="132"/>
      <c r="AI10" s="471"/>
      <c r="AJ10" s="472"/>
      <c r="AK10" s="472"/>
      <c r="AL10" s="472"/>
      <c r="AM10" s="308"/>
    </row>
    <row r="11" spans="1:39" ht="15" customHeight="1">
      <c r="A11" s="469"/>
      <c r="B11" s="243" t="s">
        <v>490</v>
      </c>
      <c r="C11" s="206"/>
      <c r="D11" s="206"/>
      <c r="E11" s="142"/>
      <c r="F11" s="138"/>
      <c r="G11" s="138"/>
      <c r="H11" s="138"/>
      <c r="I11" s="138"/>
      <c r="J11" s="195"/>
      <c r="K11" s="132"/>
      <c r="L11" s="195"/>
      <c r="M11" s="195"/>
      <c r="N11" s="195"/>
      <c r="O11" s="195"/>
      <c r="P11" s="195"/>
      <c r="Q11" s="319"/>
      <c r="R11" s="319"/>
      <c r="S11" s="473"/>
      <c r="T11" s="195"/>
      <c r="U11" s="138"/>
      <c r="V11" s="195"/>
      <c r="W11" s="138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474"/>
      <c r="AL11" s="474"/>
      <c r="AM11" s="305"/>
    </row>
    <row r="12" spans="1:39" ht="30" customHeight="1">
      <c r="A12" s="475"/>
      <c r="B12" s="476" t="s">
        <v>491</v>
      </c>
      <c r="C12" s="477"/>
      <c r="D12" s="477"/>
      <c r="E12" s="250" t="s">
        <v>266</v>
      </c>
      <c r="F12" s="250" t="s">
        <v>126</v>
      </c>
      <c r="G12" s="250" t="s">
        <v>492</v>
      </c>
      <c r="H12" s="142">
        <v>6817</v>
      </c>
      <c r="I12" s="250">
        <v>2</v>
      </c>
      <c r="J12" s="478"/>
      <c r="K12" s="479">
        <v>1</v>
      </c>
      <c r="L12" s="480"/>
      <c r="M12" s="250">
        <v>1</v>
      </c>
      <c r="N12" s="477"/>
      <c r="O12" s="250">
        <v>1</v>
      </c>
      <c r="P12" s="480"/>
      <c r="Q12" s="392">
        <v>47</v>
      </c>
      <c r="R12" s="481"/>
      <c r="S12" s="482">
        <v>20.75</v>
      </c>
      <c r="T12" s="478" t="s">
        <v>261</v>
      </c>
      <c r="U12" s="481">
        <f>S12-W12</f>
        <v>18.16</v>
      </c>
      <c r="V12" s="481">
        <v>0</v>
      </c>
      <c r="W12" s="481">
        <v>2.59</v>
      </c>
      <c r="X12" s="483">
        <v>24.31</v>
      </c>
      <c r="Y12" s="483">
        <v>0</v>
      </c>
      <c r="Z12" s="483">
        <v>0</v>
      </c>
      <c r="AA12" s="483">
        <f>SUM(X12:Z12)</f>
        <v>24.31</v>
      </c>
      <c r="AB12" s="484">
        <f>AA12*100/Q12</f>
        <v>51.723404255319146</v>
      </c>
      <c r="AC12" s="485">
        <v>24.31</v>
      </c>
      <c r="AD12" s="483">
        <v>0</v>
      </c>
      <c r="AE12" s="485">
        <v>0</v>
      </c>
      <c r="AF12" s="481">
        <f>SUM(AC12:AE12)</f>
        <v>24.31</v>
      </c>
      <c r="AG12" s="486">
        <f>AF12*100/Q12</f>
        <v>51.723404255319146</v>
      </c>
      <c r="AH12" s="480"/>
      <c r="AI12" s="195"/>
      <c r="AJ12" s="195"/>
      <c r="AK12" s="474"/>
      <c r="AL12" s="474"/>
      <c r="AM12" s="305"/>
    </row>
    <row r="13" spans="1:39" s="497" customFormat="1" ht="19.149999999999999" customHeight="1">
      <c r="A13" s="487"/>
      <c r="B13" s="488" t="s">
        <v>493</v>
      </c>
      <c r="C13" s="322"/>
      <c r="D13" s="322"/>
      <c r="E13" s="142"/>
      <c r="F13" s="142" t="s">
        <v>126</v>
      </c>
      <c r="G13" s="142" t="s">
        <v>494</v>
      </c>
      <c r="H13" s="142" t="s">
        <v>495</v>
      </c>
      <c r="I13" s="142">
        <v>1</v>
      </c>
      <c r="J13" s="206"/>
      <c r="K13" s="131"/>
      <c r="L13" s="322"/>
      <c r="M13" s="142">
        <v>1</v>
      </c>
      <c r="N13" s="322"/>
      <c r="O13" s="317">
        <v>1</v>
      </c>
      <c r="P13" s="322"/>
      <c r="Q13" s="489">
        <v>5</v>
      </c>
      <c r="R13" s="490"/>
      <c r="S13" s="491">
        <v>0</v>
      </c>
      <c r="T13" s="478" t="s">
        <v>261</v>
      </c>
      <c r="U13" s="492">
        <v>0</v>
      </c>
      <c r="V13" s="490">
        <v>0</v>
      </c>
      <c r="W13" s="490">
        <v>0</v>
      </c>
      <c r="X13" s="483">
        <f>7.73+7.72</f>
        <v>15.45</v>
      </c>
      <c r="Y13" s="483">
        <v>0</v>
      </c>
      <c r="Z13" s="483">
        <f t="shared" ref="Z13:Z52" si="0">AE13+AJ13</f>
        <v>0</v>
      </c>
      <c r="AA13" s="483">
        <f t="shared" ref="AA13:AA52" si="1">SUM(X13:Z13)</f>
        <v>15.45</v>
      </c>
      <c r="AB13" s="484">
        <f t="shared" ref="AB13:AB68" si="2">AA13*100/Q13</f>
        <v>309</v>
      </c>
      <c r="AC13" s="485">
        <v>5</v>
      </c>
      <c r="AD13" s="483">
        <v>0</v>
      </c>
      <c r="AE13" s="485">
        <v>0</v>
      </c>
      <c r="AF13" s="485">
        <f>AE13+AC13</f>
        <v>5</v>
      </c>
      <c r="AG13" s="486">
        <f t="shared" ref="AG13:AG69" si="3">AF13*100/Q13</f>
        <v>100</v>
      </c>
      <c r="AH13" s="312"/>
      <c r="AI13" s="314"/>
      <c r="AJ13" s="493"/>
      <c r="AK13" s="494">
        <f t="shared" ref="AK13:AK52" si="4">SUM(AI13:AJ13)</f>
        <v>0</v>
      </c>
      <c r="AL13" s="495"/>
      <c r="AM13" s="496"/>
    </row>
    <row r="14" spans="1:39" s="497" customFormat="1" ht="19.149999999999999" customHeight="1">
      <c r="A14" s="487"/>
      <c r="B14" s="488" t="s">
        <v>496</v>
      </c>
      <c r="C14" s="322"/>
      <c r="D14" s="322"/>
      <c r="E14" s="142"/>
      <c r="F14" s="142" t="s">
        <v>126</v>
      </c>
      <c r="G14" s="142" t="s">
        <v>497</v>
      </c>
      <c r="H14" s="142" t="s">
        <v>495</v>
      </c>
      <c r="I14" s="142">
        <v>1</v>
      </c>
      <c r="J14" s="206"/>
      <c r="K14" s="131"/>
      <c r="L14" s="322"/>
      <c r="M14" s="142">
        <v>3</v>
      </c>
      <c r="N14" s="322"/>
      <c r="O14" s="317">
        <v>3</v>
      </c>
      <c r="P14" s="322"/>
      <c r="Q14" s="489">
        <v>15</v>
      </c>
      <c r="R14" s="490"/>
      <c r="S14" s="498"/>
      <c r="T14" s="478" t="s">
        <v>261</v>
      </c>
      <c r="U14" s="499"/>
      <c r="V14" s="500"/>
      <c r="W14" s="500"/>
      <c r="X14" s="483">
        <f t="shared" ref="X14:X52" si="5">AC14+AI14</f>
        <v>9.82</v>
      </c>
      <c r="Y14" s="483">
        <v>0</v>
      </c>
      <c r="Z14" s="483">
        <f t="shared" si="0"/>
        <v>0</v>
      </c>
      <c r="AA14" s="483">
        <f t="shared" si="1"/>
        <v>9.82</v>
      </c>
      <c r="AB14" s="484">
        <f t="shared" si="2"/>
        <v>65.466666666666669</v>
      </c>
      <c r="AC14" s="485">
        <f>2.49+4.61+2.72</f>
        <v>9.82</v>
      </c>
      <c r="AD14" s="483">
        <v>0</v>
      </c>
      <c r="AE14" s="485">
        <v>0</v>
      </c>
      <c r="AF14" s="485">
        <f t="shared" ref="AF14:AF24" si="6">AE14+AC14</f>
        <v>9.82</v>
      </c>
      <c r="AG14" s="486">
        <f t="shared" si="3"/>
        <v>65.466666666666669</v>
      </c>
      <c r="AH14" s="322"/>
      <c r="AI14" s="322"/>
      <c r="AJ14" s="322"/>
      <c r="AK14" s="494">
        <f t="shared" si="4"/>
        <v>0</v>
      </c>
      <c r="AL14" s="501"/>
      <c r="AM14" s="496"/>
    </row>
    <row r="15" spans="1:39" s="497" customFormat="1" ht="19.149999999999999" customHeight="1">
      <c r="A15" s="487"/>
      <c r="B15" s="488" t="s">
        <v>498</v>
      </c>
      <c r="C15" s="322"/>
      <c r="D15" s="322"/>
      <c r="E15" s="142"/>
      <c r="F15" s="142" t="s">
        <v>126</v>
      </c>
      <c r="G15" s="142" t="s">
        <v>499</v>
      </c>
      <c r="H15" s="142" t="s">
        <v>495</v>
      </c>
      <c r="I15" s="142">
        <v>1</v>
      </c>
      <c r="J15" s="206"/>
      <c r="K15" s="131">
        <v>2</v>
      </c>
      <c r="L15" s="322"/>
      <c r="M15" s="142">
        <v>1</v>
      </c>
      <c r="N15" s="322"/>
      <c r="O15" s="317">
        <v>1</v>
      </c>
      <c r="P15" s="322"/>
      <c r="Q15" s="489">
        <v>20</v>
      </c>
      <c r="R15" s="490"/>
      <c r="S15" s="502"/>
      <c r="T15" s="478" t="s">
        <v>261</v>
      </c>
      <c r="U15" s="503"/>
      <c r="V15" s="504"/>
      <c r="W15" s="504"/>
      <c r="X15" s="483">
        <v>8</v>
      </c>
      <c r="Y15" s="483">
        <v>0</v>
      </c>
      <c r="Z15" s="483">
        <f t="shared" si="0"/>
        <v>0</v>
      </c>
      <c r="AA15" s="483">
        <f t="shared" si="1"/>
        <v>8</v>
      </c>
      <c r="AB15" s="484">
        <f t="shared" si="2"/>
        <v>40</v>
      </c>
      <c r="AC15" s="483">
        <v>1.68</v>
      </c>
      <c r="AD15" s="483">
        <v>0</v>
      </c>
      <c r="AE15" s="483">
        <v>0</v>
      </c>
      <c r="AF15" s="485">
        <f t="shared" si="6"/>
        <v>1.68</v>
      </c>
      <c r="AG15" s="486">
        <f t="shared" si="3"/>
        <v>8.4</v>
      </c>
      <c r="AH15" s="322"/>
      <c r="AI15" s="322">
        <v>49.308999999999997</v>
      </c>
      <c r="AJ15" s="322"/>
      <c r="AK15" s="494">
        <f t="shared" si="4"/>
        <v>49.308999999999997</v>
      </c>
      <c r="AL15" s="501"/>
      <c r="AM15" s="496"/>
    </row>
    <row r="16" spans="1:39" s="497" customFormat="1" ht="16.899999999999999" customHeight="1">
      <c r="A16" s="487"/>
      <c r="B16" s="488" t="s">
        <v>500</v>
      </c>
      <c r="C16" s="322"/>
      <c r="D16" s="322"/>
      <c r="E16" s="142"/>
      <c r="F16" s="142" t="s">
        <v>126</v>
      </c>
      <c r="G16" s="142" t="s">
        <v>501</v>
      </c>
      <c r="H16" s="142" t="s">
        <v>495</v>
      </c>
      <c r="I16" s="142">
        <v>72</v>
      </c>
      <c r="J16" s="206"/>
      <c r="K16" s="131">
        <v>12</v>
      </c>
      <c r="L16" s="322"/>
      <c r="M16" s="142"/>
      <c r="N16" s="322"/>
      <c r="O16" s="317"/>
      <c r="P16" s="322"/>
      <c r="Q16" s="489">
        <v>72</v>
      </c>
      <c r="R16" s="490"/>
      <c r="S16" s="470">
        <v>46.5</v>
      </c>
      <c r="T16" s="478" t="s">
        <v>261</v>
      </c>
      <c r="U16" s="481">
        <f>S16-W16</f>
        <v>40.69</v>
      </c>
      <c r="V16" s="504"/>
      <c r="W16" s="504">
        <v>5.81</v>
      </c>
      <c r="X16" s="483">
        <f t="shared" si="5"/>
        <v>0</v>
      </c>
      <c r="Y16" s="483">
        <v>0</v>
      </c>
      <c r="Z16" s="483">
        <f t="shared" si="0"/>
        <v>0</v>
      </c>
      <c r="AA16" s="483">
        <f t="shared" si="1"/>
        <v>0</v>
      </c>
      <c r="AB16" s="484">
        <f t="shared" si="2"/>
        <v>0</v>
      </c>
      <c r="AC16" s="485">
        <v>0</v>
      </c>
      <c r="AD16" s="483">
        <v>0</v>
      </c>
      <c r="AE16" s="485">
        <v>0</v>
      </c>
      <c r="AF16" s="481">
        <f t="shared" si="6"/>
        <v>0</v>
      </c>
      <c r="AG16" s="486">
        <f t="shared" si="3"/>
        <v>0</v>
      </c>
      <c r="AH16" s="322"/>
      <c r="AI16" s="322"/>
      <c r="AJ16" s="322"/>
      <c r="AK16" s="494">
        <f t="shared" si="4"/>
        <v>0</v>
      </c>
      <c r="AL16" s="501"/>
      <c r="AM16" s="496"/>
    </row>
    <row r="17" spans="1:39" s="497" customFormat="1" ht="20.100000000000001" customHeight="1">
      <c r="A17" s="487"/>
      <c r="B17" s="206" t="s">
        <v>502</v>
      </c>
      <c r="C17" s="317"/>
      <c r="D17" s="317"/>
      <c r="E17" s="142" t="s">
        <v>266</v>
      </c>
      <c r="F17" s="231" t="s">
        <v>98</v>
      </c>
      <c r="G17" s="142" t="s">
        <v>503</v>
      </c>
      <c r="H17" s="231" t="s">
        <v>504</v>
      </c>
      <c r="I17" s="231">
        <v>12</v>
      </c>
      <c r="J17" s="206"/>
      <c r="K17" s="131"/>
      <c r="L17" s="314"/>
      <c r="M17" s="138"/>
      <c r="N17" s="314"/>
      <c r="O17" s="496"/>
      <c r="P17" s="314"/>
      <c r="Q17" s="319">
        <v>50</v>
      </c>
      <c r="R17" s="490"/>
      <c r="S17" s="491">
        <v>0</v>
      </c>
      <c r="T17" s="478" t="s">
        <v>261</v>
      </c>
      <c r="U17" s="319">
        <v>0</v>
      </c>
      <c r="V17" s="490">
        <v>0</v>
      </c>
      <c r="W17" s="319">
        <v>0</v>
      </c>
      <c r="X17" s="483">
        <v>0</v>
      </c>
      <c r="Y17" s="483">
        <v>0</v>
      </c>
      <c r="Z17" s="483">
        <f t="shared" si="0"/>
        <v>0</v>
      </c>
      <c r="AA17" s="483">
        <f t="shared" si="1"/>
        <v>0</v>
      </c>
      <c r="AB17" s="484">
        <f t="shared" si="2"/>
        <v>0</v>
      </c>
      <c r="AC17" s="485">
        <v>0</v>
      </c>
      <c r="AD17" s="483">
        <v>0</v>
      </c>
      <c r="AE17" s="485">
        <v>0</v>
      </c>
      <c r="AF17" s="481">
        <f t="shared" si="6"/>
        <v>0</v>
      </c>
      <c r="AG17" s="486">
        <f t="shared" si="3"/>
        <v>0</v>
      </c>
      <c r="AH17" s="314"/>
      <c r="AI17" s="314"/>
      <c r="AJ17" s="314"/>
      <c r="AK17" s="494">
        <f t="shared" si="4"/>
        <v>0</v>
      </c>
      <c r="AL17" s="505"/>
      <c r="AM17" s="496"/>
    </row>
    <row r="18" spans="1:39" s="517" customFormat="1" ht="20.100000000000001" customHeight="1">
      <c r="A18" s="506"/>
      <c r="B18" s="478" t="s">
        <v>505</v>
      </c>
      <c r="C18" s="477"/>
      <c r="D18" s="477"/>
      <c r="E18" s="250" t="s">
        <v>266</v>
      </c>
      <c r="F18" s="507" t="s">
        <v>297</v>
      </c>
      <c r="G18" s="250" t="s">
        <v>506</v>
      </c>
      <c r="H18" s="139" t="s">
        <v>507</v>
      </c>
      <c r="I18" s="232">
        <v>4</v>
      </c>
      <c r="J18" s="478"/>
      <c r="K18" s="479">
        <v>1</v>
      </c>
      <c r="L18" s="508"/>
      <c r="M18" s="509"/>
      <c r="N18" s="506"/>
      <c r="O18" s="510"/>
      <c r="P18" s="506"/>
      <c r="Q18" s="511">
        <v>312.88</v>
      </c>
      <c r="R18" s="481"/>
      <c r="S18" s="482">
        <v>65</v>
      </c>
      <c r="T18" s="478" t="s">
        <v>261</v>
      </c>
      <c r="U18" s="481">
        <f>S18-W18</f>
        <v>56.87</v>
      </c>
      <c r="V18" s="481">
        <v>0</v>
      </c>
      <c r="W18" s="233">
        <v>8.1300000000000008</v>
      </c>
      <c r="X18" s="483">
        <f>49.31+9.46</f>
        <v>58.77</v>
      </c>
      <c r="Y18" s="483">
        <v>0</v>
      </c>
      <c r="Z18" s="483">
        <f t="shared" si="0"/>
        <v>0</v>
      </c>
      <c r="AA18" s="483">
        <f t="shared" si="1"/>
        <v>58.77</v>
      </c>
      <c r="AB18" s="484">
        <f t="shared" si="2"/>
        <v>18.783559192022501</v>
      </c>
      <c r="AC18" s="485">
        <v>9.4600000000000009</v>
      </c>
      <c r="AD18" s="483">
        <v>0</v>
      </c>
      <c r="AE18" s="485">
        <v>0</v>
      </c>
      <c r="AF18" s="512">
        <f t="shared" si="6"/>
        <v>9.4600000000000009</v>
      </c>
      <c r="AG18" s="486">
        <f t="shared" si="3"/>
        <v>3.0235233955510106</v>
      </c>
      <c r="AH18" s="513"/>
      <c r="AI18" s="514"/>
      <c r="AJ18" s="508"/>
      <c r="AK18" s="494">
        <f t="shared" si="4"/>
        <v>0</v>
      </c>
      <c r="AL18" s="515"/>
      <c r="AM18" s="516"/>
    </row>
    <row r="19" spans="1:39" s="497" customFormat="1" ht="20.100000000000001" customHeight="1">
      <c r="A19" s="487"/>
      <c r="B19" s="206" t="s">
        <v>508</v>
      </c>
      <c r="C19" s="496"/>
      <c r="D19" s="496"/>
      <c r="E19" s="138"/>
      <c r="F19" s="142" t="s">
        <v>126</v>
      </c>
      <c r="G19" s="142" t="s">
        <v>509</v>
      </c>
      <c r="H19" s="138" t="s">
        <v>510</v>
      </c>
      <c r="I19" s="231">
        <v>1</v>
      </c>
      <c r="J19" s="206"/>
      <c r="K19" s="131">
        <v>1</v>
      </c>
      <c r="L19" s="314"/>
      <c r="M19" s="138"/>
      <c r="N19" s="314"/>
      <c r="O19" s="496"/>
      <c r="P19" s="314"/>
      <c r="Q19" s="319">
        <v>90</v>
      </c>
      <c r="R19" s="490"/>
      <c r="S19" s="491">
        <v>100</v>
      </c>
      <c r="T19" s="478" t="s">
        <v>261</v>
      </c>
      <c r="U19" s="481">
        <f>S19-W19</f>
        <v>90.87</v>
      </c>
      <c r="V19" s="490">
        <v>0</v>
      </c>
      <c r="W19" s="319">
        <v>9.1300000000000008</v>
      </c>
      <c r="X19" s="483">
        <f t="shared" si="5"/>
        <v>0</v>
      </c>
      <c r="Y19" s="483">
        <v>0</v>
      </c>
      <c r="Z19" s="483">
        <f t="shared" si="0"/>
        <v>0</v>
      </c>
      <c r="AA19" s="483">
        <f t="shared" si="1"/>
        <v>0</v>
      </c>
      <c r="AB19" s="484">
        <f t="shared" si="2"/>
        <v>0</v>
      </c>
      <c r="AC19" s="485">
        <v>0</v>
      </c>
      <c r="AD19" s="483">
        <v>0</v>
      </c>
      <c r="AE19" s="485">
        <v>0</v>
      </c>
      <c r="AF19" s="481">
        <f>AE19+AC19</f>
        <v>0</v>
      </c>
      <c r="AG19" s="486">
        <f t="shared" si="3"/>
        <v>0</v>
      </c>
      <c r="AH19" s="314"/>
      <c r="AI19" s="314"/>
      <c r="AJ19" s="314"/>
      <c r="AK19" s="494">
        <f t="shared" si="4"/>
        <v>0</v>
      </c>
      <c r="AL19" s="505"/>
      <c r="AM19" s="496"/>
    </row>
    <row r="20" spans="1:39" s="497" customFormat="1" ht="20.100000000000001" customHeight="1">
      <c r="A20" s="487"/>
      <c r="B20" s="206" t="s">
        <v>511</v>
      </c>
      <c r="C20" s="496"/>
      <c r="D20" s="496"/>
      <c r="E20" s="138"/>
      <c r="F20" s="142" t="s">
        <v>126</v>
      </c>
      <c r="G20" s="142" t="s">
        <v>512</v>
      </c>
      <c r="H20" s="138" t="s">
        <v>510</v>
      </c>
      <c r="I20" s="231">
        <v>1</v>
      </c>
      <c r="J20" s="206"/>
      <c r="K20" s="131"/>
      <c r="L20" s="314"/>
      <c r="M20" s="138"/>
      <c r="N20" s="314"/>
      <c r="O20" s="496"/>
      <c r="P20" s="314"/>
      <c r="Q20" s="319">
        <v>38</v>
      </c>
      <c r="R20" s="490"/>
      <c r="S20" s="491">
        <v>0</v>
      </c>
      <c r="T20" s="478" t="s">
        <v>261</v>
      </c>
      <c r="U20" s="319">
        <v>0</v>
      </c>
      <c r="V20" s="490">
        <v>0</v>
      </c>
      <c r="W20" s="319">
        <v>0</v>
      </c>
      <c r="X20" s="483">
        <f t="shared" si="5"/>
        <v>0</v>
      </c>
      <c r="Y20" s="483">
        <v>0</v>
      </c>
      <c r="Z20" s="483">
        <f t="shared" si="0"/>
        <v>0</v>
      </c>
      <c r="AA20" s="483">
        <f t="shared" si="1"/>
        <v>0</v>
      </c>
      <c r="AB20" s="484">
        <f t="shared" si="2"/>
        <v>0</v>
      </c>
      <c r="AC20" s="485">
        <v>0</v>
      </c>
      <c r="AD20" s="483">
        <v>0</v>
      </c>
      <c r="AE20" s="485">
        <v>0</v>
      </c>
      <c r="AF20" s="481">
        <f t="shared" si="6"/>
        <v>0</v>
      </c>
      <c r="AG20" s="486">
        <f t="shared" si="3"/>
        <v>0</v>
      </c>
      <c r="AH20" s="314"/>
      <c r="AI20" s="314"/>
      <c r="AJ20" s="314"/>
      <c r="AK20" s="494">
        <f t="shared" si="4"/>
        <v>0</v>
      </c>
      <c r="AL20" s="505"/>
      <c r="AM20" s="496"/>
    </row>
    <row r="21" spans="1:39" s="497" customFormat="1" ht="20.100000000000001" customHeight="1">
      <c r="A21" s="487"/>
      <c r="B21" s="206" t="s">
        <v>513</v>
      </c>
      <c r="C21" s="496"/>
      <c r="D21" s="496"/>
      <c r="E21" s="138"/>
      <c r="F21" s="142" t="s">
        <v>126</v>
      </c>
      <c r="G21" s="142" t="s">
        <v>514</v>
      </c>
      <c r="H21" s="138" t="s">
        <v>510</v>
      </c>
      <c r="I21" s="231">
        <v>1</v>
      </c>
      <c r="J21" s="206"/>
      <c r="K21" s="131"/>
      <c r="L21" s="314"/>
      <c r="M21" s="138"/>
      <c r="N21" s="314"/>
      <c r="O21" s="496"/>
      <c r="P21" s="314"/>
      <c r="Q21" s="319">
        <v>46</v>
      </c>
      <c r="R21" s="490"/>
      <c r="S21" s="491"/>
      <c r="T21" s="478" t="s">
        <v>261</v>
      </c>
      <c r="U21" s="319">
        <v>0</v>
      </c>
      <c r="V21" s="490">
        <v>0</v>
      </c>
      <c r="W21" s="319">
        <v>0</v>
      </c>
      <c r="X21" s="483">
        <f t="shared" si="5"/>
        <v>0</v>
      </c>
      <c r="Y21" s="483">
        <v>0</v>
      </c>
      <c r="Z21" s="483">
        <f t="shared" si="0"/>
        <v>0</v>
      </c>
      <c r="AA21" s="483">
        <f t="shared" si="1"/>
        <v>0</v>
      </c>
      <c r="AB21" s="484">
        <f t="shared" si="2"/>
        <v>0</v>
      </c>
      <c r="AC21" s="485">
        <v>0</v>
      </c>
      <c r="AD21" s="483">
        <v>0</v>
      </c>
      <c r="AE21" s="485">
        <v>0</v>
      </c>
      <c r="AF21" s="481">
        <f t="shared" si="6"/>
        <v>0</v>
      </c>
      <c r="AG21" s="486">
        <f t="shared" si="3"/>
        <v>0</v>
      </c>
      <c r="AH21" s="314"/>
      <c r="AI21" s="314"/>
      <c r="AJ21" s="314"/>
      <c r="AK21" s="494">
        <f t="shared" si="4"/>
        <v>0</v>
      </c>
      <c r="AL21" s="505"/>
      <c r="AM21" s="496"/>
    </row>
    <row r="22" spans="1:39" s="497" customFormat="1" ht="20.100000000000001" customHeight="1">
      <c r="A22" s="487"/>
      <c r="B22" s="206" t="s">
        <v>515</v>
      </c>
      <c r="C22" s="496"/>
      <c r="D22" s="496"/>
      <c r="E22" s="138"/>
      <c r="F22" s="142" t="s">
        <v>126</v>
      </c>
      <c r="G22" s="142" t="s">
        <v>516</v>
      </c>
      <c r="H22" s="138" t="s">
        <v>510</v>
      </c>
      <c r="I22" s="231">
        <v>6</v>
      </c>
      <c r="J22" s="206"/>
      <c r="K22" s="131"/>
      <c r="L22" s="314"/>
      <c r="M22" s="138"/>
      <c r="N22" s="314"/>
      <c r="O22" s="496"/>
      <c r="P22" s="314"/>
      <c r="Q22" s="319">
        <v>60</v>
      </c>
      <c r="R22" s="490"/>
      <c r="S22" s="491"/>
      <c r="T22" s="478" t="s">
        <v>261</v>
      </c>
      <c r="U22" s="319">
        <v>0</v>
      </c>
      <c r="V22" s="490">
        <v>0</v>
      </c>
      <c r="W22" s="319">
        <v>0</v>
      </c>
      <c r="X22" s="483">
        <f t="shared" si="5"/>
        <v>0</v>
      </c>
      <c r="Y22" s="483">
        <v>0</v>
      </c>
      <c r="Z22" s="483">
        <f t="shared" si="0"/>
        <v>0</v>
      </c>
      <c r="AA22" s="483">
        <f t="shared" si="1"/>
        <v>0</v>
      </c>
      <c r="AB22" s="484">
        <f t="shared" si="2"/>
        <v>0</v>
      </c>
      <c r="AC22" s="485">
        <v>0</v>
      </c>
      <c r="AD22" s="483">
        <v>0</v>
      </c>
      <c r="AE22" s="485">
        <v>0</v>
      </c>
      <c r="AF22" s="481">
        <f t="shared" si="6"/>
        <v>0</v>
      </c>
      <c r="AG22" s="486">
        <f t="shared" si="3"/>
        <v>0</v>
      </c>
      <c r="AH22" s="314"/>
      <c r="AI22" s="314"/>
      <c r="AJ22" s="314"/>
      <c r="AK22" s="494">
        <f t="shared" si="4"/>
        <v>0</v>
      </c>
      <c r="AL22" s="505"/>
      <c r="AM22" s="496"/>
    </row>
    <row r="23" spans="1:39" s="497" customFormat="1" ht="20.100000000000001" customHeight="1">
      <c r="A23" s="487"/>
      <c r="B23" s="206" t="s">
        <v>517</v>
      </c>
      <c r="C23" s="496"/>
      <c r="D23" s="496"/>
      <c r="E23" s="138"/>
      <c r="F23" s="142" t="s">
        <v>126</v>
      </c>
      <c r="G23" s="142" t="s">
        <v>518</v>
      </c>
      <c r="H23" s="138" t="s">
        <v>510</v>
      </c>
      <c r="I23" s="231">
        <v>2</v>
      </c>
      <c r="J23" s="206"/>
      <c r="K23" s="131"/>
      <c r="L23" s="314"/>
      <c r="M23" s="138"/>
      <c r="N23" s="314"/>
      <c r="O23" s="496"/>
      <c r="P23" s="314"/>
      <c r="Q23" s="319">
        <v>160</v>
      </c>
      <c r="R23" s="490"/>
      <c r="S23" s="491"/>
      <c r="T23" s="478" t="s">
        <v>261</v>
      </c>
      <c r="U23" s="319">
        <v>0</v>
      </c>
      <c r="V23" s="490">
        <v>0</v>
      </c>
      <c r="W23" s="319">
        <v>0</v>
      </c>
      <c r="X23" s="490">
        <f t="shared" si="5"/>
        <v>0</v>
      </c>
      <c r="Y23" s="483">
        <v>0</v>
      </c>
      <c r="Z23" s="490">
        <f t="shared" si="0"/>
        <v>0</v>
      </c>
      <c r="AA23" s="490">
        <f t="shared" si="1"/>
        <v>0</v>
      </c>
      <c r="AB23" s="258">
        <f t="shared" si="2"/>
        <v>0</v>
      </c>
      <c r="AC23" s="481">
        <v>0</v>
      </c>
      <c r="AD23" s="483">
        <v>0</v>
      </c>
      <c r="AE23" s="481">
        <v>0</v>
      </c>
      <c r="AF23" s="481">
        <f t="shared" si="6"/>
        <v>0</v>
      </c>
      <c r="AG23" s="486">
        <f t="shared" si="3"/>
        <v>0</v>
      </c>
      <c r="AH23" s="314"/>
      <c r="AI23" s="314"/>
      <c r="AJ23" s="314"/>
      <c r="AK23" s="494">
        <f t="shared" si="4"/>
        <v>0</v>
      </c>
      <c r="AL23" s="505"/>
      <c r="AM23" s="496"/>
    </row>
    <row r="24" spans="1:39" s="497" customFormat="1" ht="20.100000000000001" customHeight="1">
      <c r="A24" s="487"/>
      <c r="B24" s="206" t="s">
        <v>519</v>
      </c>
      <c r="C24" s="496"/>
      <c r="D24" s="496"/>
      <c r="E24" s="138"/>
      <c r="F24" s="142" t="s">
        <v>126</v>
      </c>
      <c r="G24" s="142" t="s">
        <v>520</v>
      </c>
      <c r="H24" s="138" t="s">
        <v>510</v>
      </c>
      <c r="I24" s="231">
        <v>6</v>
      </c>
      <c r="J24" s="206"/>
      <c r="K24" s="131"/>
      <c r="L24" s="314"/>
      <c r="M24" s="138"/>
      <c r="N24" s="314"/>
      <c r="O24" s="496"/>
      <c r="P24" s="314"/>
      <c r="Q24" s="319">
        <v>120</v>
      </c>
      <c r="R24" s="490"/>
      <c r="S24" s="491"/>
      <c r="T24" s="478" t="s">
        <v>261</v>
      </c>
      <c r="U24" s="319">
        <v>0</v>
      </c>
      <c r="V24" s="490">
        <v>0</v>
      </c>
      <c r="W24" s="319">
        <v>0</v>
      </c>
      <c r="X24" s="490">
        <f t="shared" si="5"/>
        <v>0</v>
      </c>
      <c r="Y24" s="483">
        <v>0</v>
      </c>
      <c r="Z24" s="490">
        <f t="shared" si="0"/>
        <v>0</v>
      </c>
      <c r="AA24" s="490">
        <f t="shared" si="1"/>
        <v>0</v>
      </c>
      <c r="AB24" s="258">
        <f t="shared" si="2"/>
        <v>0</v>
      </c>
      <c r="AC24" s="481">
        <v>0</v>
      </c>
      <c r="AD24" s="483">
        <v>0</v>
      </c>
      <c r="AE24" s="481">
        <v>0</v>
      </c>
      <c r="AF24" s="481">
        <f t="shared" si="6"/>
        <v>0</v>
      </c>
      <c r="AG24" s="486">
        <f t="shared" si="3"/>
        <v>0</v>
      </c>
      <c r="AH24" s="321"/>
      <c r="AI24" s="314"/>
      <c r="AJ24" s="314"/>
      <c r="AK24" s="494">
        <f t="shared" si="4"/>
        <v>0</v>
      </c>
      <c r="AL24" s="505"/>
      <c r="AM24" s="317" t="s">
        <v>521</v>
      </c>
    </row>
    <row r="25" spans="1:39" s="525" customFormat="1" ht="24.4" customHeight="1">
      <c r="A25" s="518"/>
      <c r="B25" s="271" t="s">
        <v>522</v>
      </c>
      <c r="C25" s="519"/>
      <c r="D25" s="519"/>
      <c r="E25" s="519"/>
      <c r="F25" s="520"/>
      <c r="G25" s="521"/>
      <c r="H25" s="519"/>
      <c r="I25" s="520"/>
      <c r="J25" s="521"/>
      <c r="K25" s="174"/>
      <c r="L25" s="519"/>
      <c r="M25" s="176"/>
      <c r="N25" s="519"/>
      <c r="O25" s="176"/>
      <c r="P25" s="519"/>
      <c r="Q25" s="380">
        <f>SUM(Q12:Q24)</f>
        <v>1035.8800000000001</v>
      </c>
      <c r="R25" s="522"/>
      <c r="S25" s="380">
        <f>SUM(S12:S24)</f>
        <v>232.25</v>
      </c>
      <c r="T25" s="519"/>
      <c r="U25" s="166">
        <f t="shared" ref="U25:AA25" si="7">SUM(U12:U24)</f>
        <v>206.59</v>
      </c>
      <c r="V25" s="166">
        <f t="shared" si="7"/>
        <v>0</v>
      </c>
      <c r="W25" s="166">
        <f t="shared" si="7"/>
        <v>25.660000000000004</v>
      </c>
      <c r="X25" s="166">
        <f t="shared" si="7"/>
        <v>116.35</v>
      </c>
      <c r="Y25" s="166">
        <f t="shared" si="7"/>
        <v>0</v>
      </c>
      <c r="Z25" s="166">
        <f t="shared" si="7"/>
        <v>0</v>
      </c>
      <c r="AA25" s="166">
        <f t="shared" si="7"/>
        <v>116.35</v>
      </c>
      <c r="AB25" s="523">
        <f t="shared" si="2"/>
        <v>11.231995984090821</v>
      </c>
      <c r="AC25" s="166">
        <f>SUM(AC12:AC24)</f>
        <v>50.269999999999996</v>
      </c>
      <c r="AD25" s="166">
        <f t="shared" ref="AD25" si="8">SUM(AD12:AD24)</f>
        <v>0</v>
      </c>
      <c r="AE25" s="166">
        <f>SUM(AE12:AE24)</f>
        <v>0</v>
      </c>
      <c r="AF25" s="166">
        <f>SUM(AF12:AF24)</f>
        <v>50.269999999999996</v>
      </c>
      <c r="AG25" s="523">
        <f t="shared" si="3"/>
        <v>4.8528787118199013</v>
      </c>
      <c r="AH25" s="274"/>
      <c r="AI25" s="524">
        <f>SUM(AI13:AI24)</f>
        <v>49.308999999999997</v>
      </c>
      <c r="AJ25" s="524">
        <f>SUM(AJ13:AJ24)</f>
        <v>0</v>
      </c>
      <c r="AK25" s="524">
        <f>SUM(AK13:AK24)</f>
        <v>49.308999999999997</v>
      </c>
      <c r="AL25" s="524">
        <f>SUM(AL13:AL24)</f>
        <v>0</v>
      </c>
      <c r="AM25" s="524">
        <f>SUM(AM13:AM24)</f>
        <v>0</v>
      </c>
    </row>
    <row r="26" spans="1:39" ht="26.25" customHeight="1">
      <c r="A26" s="469"/>
      <c r="B26" s="243" t="s">
        <v>523</v>
      </c>
      <c r="C26" s="206"/>
      <c r="D26" s="206"/>
      <c r="E26" s="142"/>
      <c r="F26" s="142"/>
      <c r="G26" s="142"/>
      <c r="H26" s="142"/>
      <c r="I26" s="142"/>
      <c r="J26" s="206"/>
      <c r="K26" s="131"/>
      <c r="L26" s="206"/>
      <c r="M26" s="142"/>
      <c r="N26" s="206"/>
      <c r="O26" s="142"/>
      <c r="P26" s="206"/>
      <c r="Q26" s="490"/>
      <c r="R26" s="490"/>
      <c r="S26" s="491"/>
      <c r="T26" s="206"/>
      <c r="U26" s="490"/>
      <c r="V26" s="490"/>
      <c r="W26" s="490"/>
      <c r="X26" s="490"/>
      <c r="Y26" s="490"/>
      <c r="Z26" s="490"/>
      <c r="AA26" s="490"/>
      <c r="AB26" s="258"/>
      <c r="AC26" s="481"/>
      <c r="AD26" s="481"/>
      <c r="AE26" s="481"/>
      <c r="AF26" s="481"/>
      <c r="AG26" s="486"/>
      <c r="AH26" s="206"/>
      <c r="AI26" s="206"/>
      <c r="AJ26" s="206"/>
      <c r="AK26" s="494">
        <f t="shared" si="4"/>
        <v>0</v>
      </c>
      <c r="AL26" s="526"/>
      <c r="AM26" s="305"/>
    </row>
    <row r="27" spans="1:39" ht="26.25" customHeight="1">
      <c r="A27" s="527"/>
      <c r="B27" s="243" t="s">
        <v>524</v>
      </c>
      <c r="C27" s="206">
        <f>39+4.5+6</f>
        <v>49.5</v>
      </c>
      <c r="D27" s="206"/>
      <c r="E27" s="142"/>
      <c r="F27" s="142"/>
      <c r="G27" s="142"/>
      <c r="H27" s="142">
        <v>6900</v>
      </c>
      <c r="I27" s="142"/>
      <c r="J27" s="206"/>
      <c r="K27" s="131"/>
      <c r="L27" s="206"/>
      <c r="M27" s="142"/>
      <c r="N27" s="206"/>
      <c r="O27" s="142"/>
      <c r="P27" s="206"/>
      <c r="Q27" s="490">
        <v>25</v>
      </c>
      <c r="R27" s="490"/>
      <c r="S27" s="491">
        <v>6.48</v>
      </c>
      <c r="T27" s="142" t="s">
        <v>525</v>
      </c>
      <c r="U27" s="481">
        <f>S27-W27</f>
        <v>0</v>
      </c>
      <c r="V27" s="490">
        <v>0</v>
      </c>
      <c r="W27" s="483">
        <v>6.48</v>
      </c>
      <c r="X27" s="483">
        <f t="shared" si="5"/>
        <v>0</v>
      </c>
      <c r="Y27" s="483">
        <v>0</v>
      </c>
      <c r="Z27" s="483">
        <f t="shared" si="0"/>
        <v>0</v>
      </c>
      <c r="AA27" s="483">
        <f t="shared" si="1"/>
        <v>0</v>
      </c>
      <c r="AB27" s="484">
        <f t="shared" si="2"/>
        <v>0</v>
      </c>
      <c r="AC27" s="485">
        <v>0</v>
      </c>
      <c r="AD27" s="483">
        <v>0</v>
      </c>
      <c r="AE27" s="485">
        <v>0</v>
      </c>
      <c r="AF27" s="485">
        <f t="shared" ref="AF27:AF29" si="9">SUM(AC27:AE27)</f>
        <v>0</v>
      </c>
      <c r="AG27" s="528">
        <f t="shared" si="3"/>
        <v>0</v>
      </c>
      <c r="AH27" s="529"/>
      <c r="AI27" s="206"/>
      <c r="AJ27" s="206"/>
      <c r="AK27" s="494">
        <f t="shared" si="4"/>
        <v>0</v>
      </c>
      <c r="AL27" s="526"/>
      <c r="AM27" s="305"/>
    </row>
    <row r="28" spans="1:39" s="255" customFormat="1" ht="33.75">
      <c r="A28" s="151"/>
      <c r="B28" s="530" t="s">
        <v>526</v>
      </c>
      <c r="C28" s="142"/>
      <c r="D28" s="142"/>
      <c r="E28" s="142" t="s">
        <v>266</v>
      </c>
      <c r="F28" s="138" t="s">
        <v>267</v>
      </c>
      <c r="G28" s="142" t="s">
        <v>527</v>
      </c>
      <c r="H28" s="138" t="s">
        <v>528</v>
      </c>
      <c r="I28" s="138">
        <v>1</v>
      </c>
      <c r="J28" s="186"/>
      <c r="K28" s="215"/>
      <c r="L28" s="138"/>
      <c r="M28" s="138">
        <v>1</v>
      </c>
      <c r="N28" s="138"/>
      <c r="O28" s="138">
        <v>1</v>
      </c>
      <c r="P28" s="138"/>
      <c r="Q28" s="319">
        <v>82</v>
      </c>
      <c r="R28" s="319"/>
      <c r="S28" s="473"/>
      <c r="T28" s="142" t="s">
        <v>270</v>
      </c>
      <c r="U28" s="319">
        <v>0</v>
      </c>
      <c r="V28" s="319">
        <v>0</v>
      </c>
      <c r="W28" s="531">
        <v>0</v>
      </c>
      <c r="X28" s="483">
        <f>58.26</f>
        <v>58.26</v>
      </c>
      <c r="Y28" s="483">
        <v>0</v>
      </c>
      <c r="Z28" s="483">
        <v>9.83</v>
      </c>
      <c r="AA28" s="483">
        <f t="shared" si="1"/>
        <v>68.09</v>
      </c>
      <c r="AB28" s="484">
        <f t="shared" si="2"/>
        <v>83.036585365853654</v>
      </c>
      <c r="AC28" s="531">
        <f>2.08+12</f>
        <v>14.08</v>
      </c>
      <c r="AD28" s="483">
        <v>0</v>
      </c>
      <c r="AE28" s="531">
        <v>9.83</v>
      </c>
      <c r="AF28" s="483">
        <f t="shared" si="9"/>
        <v>23.91</v>
      </c>
      <c r="AG28" s="484">
        <f t="shared" si="3"/>
        <v>29.158536585365855</v>
      </c>
      <c r="AH28" s="238"/>
      <c r="AI28" s="532">
        <v>206.18199999999999</v>
      </c>
      <c r="AJ28" s="186"/>
      <c r="AK28" s="494">
        <f t="shared" si="4"/>
        <v>206.18199999999999</v>
      </c>
      <c r="AL28" s="533"/>
      <c r="AM28" s="423" t="s">
        <v>529</v>
      </c>
    </row>
    <row r="29" spans="1:39" s="255" customFormat="1" ht="20.100000000000001" customHeight="1">
      <c r="A29" s="157"/>
      <c r="B29" s="530" t="s">
        <v>530</v>
      </c>
      <c r="C29" s="142"/>
      <c r="D29" s="142"/>
      <c r="E29" s="142" t="s">
        <v>266</v>
      </c>
      <c r="F29" s="138" t="s">
        <v>267</v>
      </c>
      <c r="G29" s="142" t="s">
        <v>531</v>
      </c>
      <c r="H29" s="138" t="s">
        <v>532</v>
      </c>
      <c r="I29" s="138">
        <v>1</v>
      </c>
      <c r="J29" s="186"/>
      <c r="K29" s="215"/>
      <c r="L29" s="138"/>
      <c r="M29" s="138"/>
      <c r="N29" s="138"/>
      <c r="O29" s="138"/>
      <c r="P29" s="138"/>
      <c r="Q29" s="319">
        <f>52</f>
        <v>52</v>
      </c>
      <c r="R29" s="319"/>
      <c r="S29" s="473"/>
      <c r="T29" s="142" t="s">
        <v>270</v>
      </c>
      <c r="U29" s="319">
        <v>0</v>
      </c>
      <c r="V29" s="319">
        <v>0</v>
      </c>
      <c r="W29" s="531">
        <v>0</v>
      </c>
      <c r="X29" s="483">
        <f t="shared" si="5"/>
        <v>8.4600000000000009</v>
      </c>
      <c r="Y29" s="483">
        <v>0</v>
      </c>
      <c r="Z29" s="483">
        <f t="shared" si="0"/>
        <v>0</v>
      </c>
      <c r="AA29" s="483">
        <f t="shared" si="1"/>
        <v>8.4600000000000009</v>
      </c>
      <c r="AB29" s="484">
        <f t="shared" si="2"/>
        <v>16.26923076923077</v>
      </c>
      <c r="AC29" s="485">
        <v>8.4600000000000009</v>
      </c>
      <c r="AD29" s="483">
        <v>0</v>
      </c>
      <c r="AE29" s="485">
        <v>0</v>
      </c>
      <c r="AF29" s="485">
        <f t="shared" si="9"/>
        <v>8.4600000000000009</v>
      </c>
      <c r="AG29" s="528">
        <f t="shared" si="3"/>
        <v>16.26923076923077</v>
      </c>
      <c r="AH29" s="238"/>
      <c r="AI29" s="186"/>
      <c r="AJ29" s="186"/>
      <c r="AK29" s="494">
        <f t="shared" si="4"/>
        <v>0</v>
      </c>
      <c r="AL29" s="533"/>
      <c r="AM29" s="138"/>
    </row>
    <row r="30" spans="1:39" s="254" customFormat="1" ht="20.100000000000001" customHeight="1">
      <c r="A30" s="235"/>
      <c r="B30" s="206" t="s">
        <v>533</v>
      </c>
      <c r="C30" s="206"/>
      <c r="D30" s="206"/>
      <c r="E30" s="142" t="s">
        <v>266</v>
      </c>
      <c r="F30" s="142" t="s">
        <v>98</v>
      </c>
      <c r="G30" s="142" t="s">
        <v>534</v>
      </c>
      <c r="H30" s="142" t="s">
        <v>535</v>
      </c>
      <c r="I30" s="142">
        <v>33</v>
      </c>
      <c r="J30" s="206"/>
      <c r="K30" s="131">
        <v>20</v>
      </c>
      <c r="L30" s="206"/>
      <c r="M30" s="142">
        <v>10</v>
      </c>
      <c r="N30" s="142"/>
      <c r="O30" s="142">
        <v>7</v>
      </c>
      <c r="P30" s="206"/>
      <c r="Q30" s="490">
        <v>33</v>
      </c>
      <c r="R30" s="490"/>
      <c r="S30" s="498"/>
      <c r="T30" s="142" t="s">
        <v>270</v>
      </c>
      <c r="U30" s="490">
        <v>0</v>
      </c>
      <c r="V30" s="490">
        <v>0</v>
      </c>
      <c r="W30" s="490">
        <v>0</v>
      </c>
      <c r="X30" s="490">
        <f t="shared" si="5"/>
        <v>7.4439999999999991</v>
      </c>
      <c r="Y30" s="483">
        <v>0</v>
      </c>
      <c r="Z30" s="490">
        <f t="shared" si="0"/>
        <v>5.8369999999999997</v>
      </c>
      <c r="AA30" s="490">
        <f t="shared" si="1"/>
        <v>13.280999999999999</v>
      </c>
      <c r="AB30" s="258">
        <f t="shared" si="2"/>
        <v>40.245454545454542</v>
      </c>
      <c r="AC30" s="492">
        <v>2.86</v>
      </c>
      <c r="AD30" s="483">
        <v>0</v>
      </c>
      <c r="AE30" s="492">
        <v>0.87</v>
      </c>
      <c r="AF30" s="481">
        <f t="shared" ref="AF30:AF53" si="10">SUM(AC30:AE30)</f>
        <v>3.73</v>
      </c>
      <c r="AG30" s="486">
        <f t="shared" si="3"/>
        <v>11.303030303030303</v>
      </c>
      <c r="AH30" s="534"/>
      <c r="AI30" s="534">
        <v>4.5839999999999996</v>
      </c>
      <c r="AJ30" s="534">
        <v>4.9669999999999996</v>
      </c>
      <c r="AK30" s="494">
        <f t="shared" si="4"/>
        <v>9.5509999999999984</v>
      </c>
      <c r="AL30" s="535"/>
      <c r="AM30" s="305"/>
    </row>
    <row r="31" spans="1:39" s="254" customFormat="1" ht="20.100000000000001" customHeight="1">
      <c r="A31" s="235"/>
      <c r="B31" s="206" t="s">
        <v>536</v>
      </c>
      <c r="C31" s="206"/>
      <c r="D31" s="206"/>
      <c r="E31" s="142" t="s">
        <v>266</v>
      </c>
      <c r="F31" s="142" t="s">
        <v>98</v>
      </c>
      <c r="G31" s="142" t="s">
        <v>537</v>
      </c>
      <c r="H31" s="142" t="s">
        <v>538</v>
      </c>
      <c r="I31" s="142">
        <v>7</v>
      </c>
      <c r="J31" s="206"/>
      <c r="K31" s="131"/>
      <c r="L31" s="206"/>
      <c r="M31" s="142">
        <v>7</v>
      </c>
      <c r="N31" s="142"/>
      <c r="O31" s="142">
        <v>7</v>
      </c>
      <c r="P31" s="206"/>
      <c r="Q31" s="490">
        <v>7</v>
      </c>
      <c r="R31" s="490"/>
      <c r="S31" s="470">
        <v>4.95</v>
      </c>
      <c r="T31" s="142" t="s">
        <v>270</v>
      </c>
      <c r="U31" s="481">
        <f t="shared" ref="U31:U42" si="11">S31-W31</f>
        <v>4.33</v>
      </c>
      <c r="V31" s="490">
        <v>0</v>
      </c>
      <c r="W31" s="490">
        <v>0.62</v>
      </c>
      <c r="X31" s="490">
        <f t="shared" si="5"/>
        <v>4.33</v>
      </c>
      <c r="Y31" s="483">
        <v>0</v>
      </c>
      <c r="Z31" s="490">
        <f t="shared" si="0"/>
        <v>1.32</v>
      </c>
      <c r="AA31" s="490">
        <f t="shared" si="1"/>
        <v>5.65</v>
      </c>
      <c r="AB31" s="258">
        <f t="shared" si="2"/>
        <v>80.714285714285708</v>
      </c>
      <c r="AC31" s="490">
        <v>4.33</v>
      </c>
      <c r="AD31" s="483">
        <v>0</v>
      </c>
      <c r="AE31" s="490">
        <v>1.32</v>
      </c>
      <c r="AF31" s="481">
        <f t="shared" si="10"/>
        <v>5.65</v>
      </c>
      <c r="AG31" s="486">
        <f t="shared" si="3"/>
        <v>80.714285714285708</v>
      </c>
      <c r="AH31" s="206"/>
      <c r="AI31" s="206"/>
      <c r="AJ31" s="206"/>
      <c r="AK31" s="494">
        <f t="shared" si="4"/>
        <v>0</v>
      </c>
      <c r="AL31" s="526"/>
      <c r="AM31" s="305"/>
    </row>
    <row r="32" spans="1:39" s="254" customFormat="1" ht="20.100000000000001" customHeight="1">
      <c r="A32" s="235"/>
      <c r="B32" s="206" t="s">
        <v>539</v>
      </c>
      <c r="C32" s="206"/>
      <c r="D32" s="206"/>
      <c r="E32" s="142" t="s">
        <v>266</v>
      </c>
      <c r="F32" s="142" t="s">
        <v>98</v>
      </c>
      <c r="G32" s="142" t="s">
        <v>540</v>
      </c>
      <c r="H32" s="142">
        <v>6812</v>
      </c>
      <c r="I32" s="142">
        <v>10</v>
      </c>
      <c r="J32" s="206"/>
      <c r="K32" s="131">
        <v>5</v>
      </c>
      <c r="L32" s="206"/>
      <c r="M32" s="157"/>
      <c r="N32" s="157"/>
      <c r="O32" s="157"/>
      <c r="P32" s="196"/>
      <c r="Q32" s="536">
        <v>5</v>
      </c>
      <c r="R32" s="490"/>
      <c r="S32" s="491">
        <v>2.85</v>
      </c>
      <c r="T32" s="142" t="s">
        <v>270</v>
      </c>
      <c r="U32" s="481">
        <f t="shared" si="11"/>
        <v>2.4900000000000002</v>
      </c>
      <c r="V32" s="490">
        <v>0</v>
      </c>
      <c r="W32" s="490">
        <v>0.36</v>
      </c>
      <c r="X32" s="490">
        <f t="shared" si="5"/>
        <v>0</v>
      </c>
      <c r="Y32" s="483">
        <v>0</v>
      </c>
      <c r="Z32" s="490">
        <f t="shared" si="0"/>
        <v>0</v>
      </c>
      <c r="AA32" s="490">
        <f t="shared" si="1"/>
        <v>0</v>
      </c>
      <c r="AB32" s="258">
        <f t="shared" si="2"/>
        <v>0</v>
      </c>
      <c r="AC32" s="481">
        <v>0</v>
      </c>
      <c r="AD32" s="483">
        <v>0</v>
      </c>
      <c r="AE32" s="481">
        <v>0</v>
      </c>
      <c r="AF32" s="481">
        <f t="shared" si="10"/>
        <v>0</v>
      </c>
      <c r="AG32" s="486">
        <f t="shared" si="3"/>
        <v>0</v>
      </c>
      <c r="AH32" s="206"/>
      <c r="AI32" s="206"/>
      <c r="AJ32" s="206"/>
      <c r="AK32" s="494">
        <f>SUM(AI32:AJ32)</f>
        <v>0</v>
      </c>
      <c r="AL32" s="526"/>
      <c r="AM32" s="305"/>
    </row>
    <row r="33" spans="1:39" s="254" customFormat="1" ht="20.100000000000001" customHeight="1">
      <c r="A33" s="235"/>
      <c r="B33" s="206" t="s">
        <v>541</v>
      </c>
      <c r="C33" s="206"/>
      <c r="D33" s="206"/>
      <c r="E33" s="142" t="s">
        <v>266</v>
      </c>
      <c r="F33" s="142" t="s">
        <v>98</v>
      </c>
      <c r="G33" s="142" t="s">
        <v>542</v>
      </c>
      <c r="H33" s="142" t="s">
        <v>543</v>
      </c>
      <c r="I33" s="142">
        <v>13</v>
      </c>
      <c r="J33" s="206"/>
      <c r="K33" s="131"/>
      <c r="L33" s="206"/>
      <c r="M33" s="142">
        <v>7</v>
      </c>
      <c r="N33" s="142"/>
      <c r="O33" s="142">
        <v>5</v>
      </c>
      <c r="P33" s="206"/>
      <c r="Q33" s="490">
        <v>20</v>
      </c>
      <c r="R33" s="490"/>
      <c r="S33" s="491">
        <v>4.5999999999999996</v>
      </c>
      <c r="T33" s="142" t="s">
        <v>270</v>
      </c>
      <c r="U33" s="481">
        <f t="shared" si="11"/>
        <v>4.0199999999999996</v>
      </c>
      <c r="V33" s="490">
        <v>0</v>
      </c>
      <c r="W33" s="490">
        <v>0.57999999999999996</v>
      </c>
      <c r="X33" s="490">
        <f t="shared" si="5"/>
        <v>6.2130000000000001</v>
      </c>
      <c r="Y33" s="483">
        <v>0</v>
      </c>
      <c r="Z33" s="490">
        <f t="shared" si="0"/>
        <v>0</v>
      </c>
      <c r="AA33" s="490">
        <f t="shared" si="1"/>
        <v>6.2130000000000001</v>
      </c>
      <c r="AB33" s="258">
        <f t="shared" si="2"/>
        <v>31.064999999999998</v>
      </c>
      <c r="AC33" s="492">
        <v>4.24</v>
      </c>
      <c r="AD33" s="483">
        <v>0</v>
      </c>
      <c r="AE33" s="481">
        <v>0</v>
      </c>
      <c r="AF33" s="481">
        <f t="shared" si="10"/>
        <v>4.24</v>
      </c>
      <c r="AG33" s="486">
        <f t="shared" si="3"/>
        <v>21.2</v>
      </c>
      <c r="AH33" s="534"/>
      <c r="AI33" s="534">
        <v>1.9730000000000001</v>
      </c>
      <c r="AJ33" s="206"/>
      <c r="AK33" s="494">
        <f t="shared" si="4"/>
        <v>1.9730000000000001</v>
      </c>
      <c r="AL33" s="535"/>
      <c r="AM33" s="305"/>
    </row>
    <row r="34" spans="1:39" s="254" customFormat="1" ht="20.100000000000001" customHeight="1">
      <c r="A34" s="235"/>
      <c r="B34" s="206" t="s">
        <v>544</v>
      </c>
      <c r="C34" s="206"/>
      <c r="D34" s="206"/>
      <c r="E34" s="142" t="s">
        <v>266</v>
      </c>
      <c r="F34" s="142" t="s">
        <v>98</v>
      </c>
      <c r="G34" s="142" t="s">
        <v>545</v>
      </c>
      <c r="H34" s="142" t="s">
        <v>546</v>
      </c>
      <c r="I34" s="142">
        <v>6</v>
      </c>
      <c r="J34" s="206"/>
      <c r="K34" s="131">
        <v>3</v>
      </c>
      <c r="L34" s="206"/>
      <c r="M34" s="142">
        <v>2</v>
      </c>
      <c r="N34" s="142"/>
      <c r="O34" s="142">
        <v>2</v>
      </c>
      <c r="P34" s="206"/>
      <c r="Q34" s="490">
        <v>22</v>
      </c>
      <c r="R34" s="490"/>
      <c r="S34" s="491">
        <v>12</v>
      </c>
      <c r="T34" s="142" t="s">
        <v>270</v>
      </c>
      <c r="U34" s="481">
        <f t="shared" si="11"/>
        <v>10.5</v>
      </c>
      <c r="V34" s="490">
        <v>0</v>
      </c>
      <c r="W34" s="490">
        <v>1.5</v>
      </c>
      <c r="X34" s="490">
        <f t="shared" si="5"/>
        <v>4.97</v>
      </c>
      <c r="Y34" s="483">
        <v>0</v>
      </c>
      <c r="Z34" s="490">
        <f t="shared" si="0"/>
        <v>0</v>
      </c>
      <c r="AA34" s="490">
        <f t="shared" si="1"/>
        <v>4.97</v>
      </c>
      <c r="AB34" s="258">
        <f t="shared" si="2"/>
        <v>22.59090909090909</v>
      </c>
      <c r="AC34" s="481">
        <v>4.97</v>
      </c>
      <c r="AD34" s="483">
        <v>0</v>
      </c>
      <c r="AE34" s="481">
        <v>0</v>
      </c>
      <c r="AF34" s="481">
        <f t="shared" si="10"/>
        <v>4.97</v>
      </c>
      <c r="AG34" s="486">
        <f t="shared" si="3"/>
        <v>22.59090909090909</v>
      </c>
      <c r="AH34" s="206"/>
      <c r="AI34" s="206"/>
      <c r="AJ34" s="206"/>
      <c r="AK34" s="494">
        <f t="shared" si="4"/>
        <v>0</v>
      </c>
      <c r="AL34" s="526"/>
      <c r="AM34" s="305"/>
    </row>
    <row r="35" spans="1:39" s="254" customFormat="1" ht="20.100000000000001" customHeight="1">
      <c r="A35" s="235"/>
      <c r="B35" s="206" t="s">
        <v>547</v>
      </c>
      <c r="C35" s="206"/>
      <c r="D35" s="206"/>
      <c r="E35" s="142" t="s">
        <v>266</v>
      </c>
      <c r="F35" s="142" t="s">
        <v>98</v>
      </c>
      <c r="G35" s="142" t="s">
        <v>548</v>
      </c>
      <c r="H35" s="142" t="s">
        <v>549</v>
      </c>
      <c r="I35" s="142">
        <v>9</v>
      </c>
      <c r="J35" s="206"/>
      <c r="K35" s="131"/>
      <c r="L35" s="206"/>
      <c r="M35" s="142"/>
      <c r="N35" s="142"/>
      <c r="O35" s="142"/>
      <c r="P35" s="206"/>
      <c r="Q35" s="490">
        <v>3</v>
      </c>
      <c r="R35" s="490"/>
      <c r="S35" s="491"/>
      <c r="T35" s="142" t="s">
        <v>270</v>
      </c>
      <c r="U35" s="481">
        <f t="shared" si="11"/>
        <v>0</v>
      </c>
      <c r="V35" s="490">
        <v>0</v>
      </c>
      <c r="W35" s="490">
        <v>0</v>
      </c>
      <c r="X35" s="490">
        <f t="shared" si="5"/>
        <v>0</v>
      </c>
      <c r="Y35" s="483">
        <v>0</v>
      </c>
      <c r="Z35" s="490">
        <f t="shared" si="0"/>
        <v>0</v>
      </c>
      <c r="AA35" s="490">
        <f t="shared" si="1"/>
        <v>0</v>
      </c>
      <c r="AB35" s="258">
        <f t="shared" si="2"/>
        <v>0</v>
      </c>
      <c r="AC35" s="481">
        <v>0</v>
      </c>
      <c r="AD35" s="483">
        <v>0</v>
      </c>
      <c r="AE35" s="481">
        <v>0</v>
      </c>
      <c r="AF35" s="481">
        <f t="shared" si="10"/>
        <v>0</v>
      </c>
      <c r="AG35" s="486">
        <f t="shared" si="3"/>
        <v>0</v>
      </c>
      <c r="AH35" s="206"/>
      <c r="AI35" s="206"/>
      <c r="AJ35" s="206"/>
      <c r="AK35" s="494">
        <f t="shared" si="4"/>
        <v>0</v>
      </c>
      <c r="AL35" s="526"/>
      <c r="AM35" s="305"/>
    </row>
    <row r="36" spans="1:39" s="254" customFormat="1" ht="20.100000000000001" customHeight="1">
      <c r="A36" s="235"/>
      <c r="B36" s="206" t="s">
        <v>550</v>
      </c>
      <c r="C36" s="206"/>
      <c r="D36" s="206"/>
      <c r="E36" s="142" t="s">
        <v>266</v>
      </c>
      <c r="F36" s="142" t="s">
        <v>98</v>
      </c>
      <c r="G36" s="142" t="s">
        <v>551</v>
      </c>
      <c r="H36" s="142" t="s">
        <v>552</v>
      </c>
      <c r="I36" s="142">
        <v>5</v>
      </c>
      <c r="J36" s="206"/>
      <c r="K36" s="131">
        <v>4</v>
      </c>
      <c r="L36" s="206"/>
      <c r="M36" s="142"/>
      <c r="N36" s="142"/>
      <c r="O36" s="142"/>
      <c r="P36" s="206"/>
      <c r="Q36" s="490">
        <v>5</v>
      </c>
      <c r="R36" s="490"/>
      <c r="S36" s="491">
        <v>4</v>
      </c>
      <c r="T36" s="142" t="s">
        <v>270</v>
      </c>
      <c r="U36" s="481">
        <f t="shared" si="11"/>
        <v>3.5</v>
      </c>
      <c r="V36" s="490">
        <v>0</v>
      </c>
      <c r="W36" s="490">
        <v>0.5</v>
      </c>
      <c r="X36" s="490">
        <f t="shared" si="5"/>
        <v>0</v>
      </c>
      <c r="Y36" s="483">
        <v>0</v>
      </c>
      <c r="Z36" s="490">
        <f t="shared" si="0"/>
        <v>0</v>
      </c>
      <c r="AA36" s="490">
        <f t="shared" si="1"/>
        <v>0</v>
      </c>
      <c r="AB36" s="258">
        <f t="shared" si="2"/>
        <v>0</v>
      </c>
      <c r="AC36" s="481">
        <v>0</v>
      </c>
      <c r="AD36" s="483">
        <v>0</v>
      </c>
      <c r="AE36" s="481">
        <v>0</v>
      </c>
      <c r="AF36" s="481">
        <f t="shared" si="10"/>
        <v>0</v>
      </c>
      <c r="AG36" s="486">
        <f t="shared" si="3"/>
        <v>0</v>
      </c>
      <c r="AH36" s="206"/>
      <c r="AI36" s="206"/>
      <c r="AJ36" s="206"/>
      <c r="AK36" s="494">
        <f t="shared" si="4"/>
        <v>0</v>
      </c>
      <c r="AL36" s="526"/>
      <c r="AM36" s="305"/>
    </row>
    <row r="37" spans="1:39" s="254" customFormat="1" ht="20.100000000000001" customHeight="1">
      <c r="A37" s="235"/>
      <c r="B37" s="206" t="s">
        <v>553</v>
      </c>
      <c r="C37" s="206"/>
      <c r="D37" s="206"/>
      <c r="E37" s="142" t="s">
        <v>266</v>
      </c>
      <c r="F37" s="142" t="s">
        <v>126</v>
      </c>
      <c r="G37" s="142" t="s">
        <v>554</v>
      </c>
      <c r="H37" s="142" t="s">
        <v>555</v>
      </c>
      <c r="I37" s="142" t="s">
        <v>126</v>
      </c>
      <c r="J37" s="206"/>
      <c r="K37" s="131" t="s">
        <v>126</v>
      </c>
      <c r="L37" s="206"/>
      <c r="M37" s="142"/>
      <c r="N37" s="206"/>
      <c r="O37" s="142"/>
      <c r="P37" s="206"/>
      <c r="Q37" s="490">
        <v>5</v>
      </c>
      <c r="R37" s="490"/>
      <c r="S37" s="491">
        <v>1</v>
      </c>
      <c r="T37" s="142" t="s">
        <v>270</v>
      </c>
      <c r="U37" s="481">
        <f t="shared" si="11"/>
        <v>0.87</v>
      </c>
      <c r="V37" s="537">
        <v>0</v>
      </c>
      <c r="W37" s="490">
        <v>0.13</v>
      </c>
      <c r="X37" s="490">
        <f t="shared" si="5"/>
        <v>0</v>
      </c>
      <c r="Y37" s="483">
        <v>0</v>
      </c>
      <c r="Z37" s="490">
        <f t="shared" si="0"/>
        <v>0</v>
      </c>
      <c r="AA37" s="490">
        <f t="shared" si="1"/>
        <v>0</v>
      </c>
      <c r="AB37" s="258">
        <f t="shared" si="2"/>
        <v>0</v>
      </c>
      <c r="AC37" s="481">
        <v>0</v>
      </c>
      <c r="AD37" s="483">
        <v>0</v>
      </c>
      <c r="AE37" s="481">
        <v>0</v>
      </c>
      <c r="AF37" s="481">
        <f t="shared" si="10"/>
        <v>0</v>
      </c>
      <c r="AG37" s="486">
        <f t="shared" si="3"/>
        <v>0</v>
      </c>
      <c r="AH37" s="206"/>
      <c r="AI37" s="206"/>
      <c r="AJ37" s="206"/>
      <c r="AK37" s="494">
        <f t="shared" si="4"/>
        <v>0</v>
      </c>
      <c r="AL37" s="526"/>
      <c r="AM37" s="305"/>
    </row>
    <row r="38" spans="1:39" s="254" customFormat="1" ht="20.100000000000001" customHeight="1">
      <c r="A38" s="235"/>
      <c r="B38" s="538" t="s">
        <v>556</v>
      </c>
      <c r="C38" s="206"/>
      <c r="D38" s="206"/>
      <c r="E38" s="142" t="s">
        <v>266</v>
      </c>
      <c r="F38" s="142" t="s">
        <v>98</v>
      </c>
      <c r="G38" s="142" t="s">
        <v>557</v>
      </c>
      <c r="H38" s="142">
        <v>6819</v>
      </c>
      <c r="I38" s="221" t="s">
        <v>126</v>
      </c>
      <c r="J38" s="206"/>
      <c r="K38" s="131" t="s">
        <v>126</v>
      </c>
      <c r="L38" s="206"/>
      <c r="M38" s="142"/>
      <c r="N38" s="206"/>
      <c r="O38" s="142"/>
      <c r="P38" s="206"/>
      <c r="Q38" s="539">
        <v>20</v>
      </c>
      <c r="R38" s="490"/>
      <c r="S38" s="491">
        <v>3</v>
      </c>
      <c r="T38" s="142" t="s">
        <v>270</v>
      </c>
      <c r="U38" s="481">
        <f t="shared" si="11"/>
        <v>2.62</v>
      </c>
      <c r="V38" s="490">
        <v>0</v>
      </c>
      <c r="W38" s="490">
        <v>0.38</v>
      </c>
      <c r="X38" s="490">
        <f t="shared" si="5"/>
        <v>6.2270000000000003</v>
      </c>
      <c r="Y38" s="483">
        <v>0</v>
      </c>
      <c r="Z38" s="490">
        <f t="shared" si="0"/>
        <v>0.63</v>
      </c>
      <c r="AA38" s="490">
        <f t="shared" si="1"/>
        <v>6.8570000000000002</v>
      </c>
      <c r="AB38" s="258">
        <f t="shared" si="2"/>
        <v>34.285000000000004</v>
      </c>
      <c r="AC38" s="492">
        <v>4.22</v>
      </c>
      <c r="AD38" s="483">
        <v>0</v>
      </c>
      <c r="AE38" s="492">
        <v>0.63</v>
      </c>
      <c r="AF38" s="481">
        <f t="shared" si="10"/>
        <v>4.8499999999999996</v>
      </c>
      <c r="AG38" s="486">
        <f t="shared" si="3"/>
        <v>24.249999999999996</v>
      </c>
      <c r="AH38" s="534"/>
      <c r="AI38" s="534">
        <v>2.0070000000000001</v>
      </c>
      <c r="AJ38" s="206"/>
      <c r="AK38" s="494">
        <f t="shared" si="4"/>
        <v>2.0070000000000001</v>
      </c>
      <c r="AL38" s="535"/>
      <c r="AM38" s="305"/>
    </row>
    <row r="39" spans="1:39" s="254" customFormat="1" ht="20.100000000000001" customHeight="1">
      <c r="A39" s="235"/>
      <c r="B39" s="538" t="s">
        <v>558</v>
      </c>
      <c r="C39" s="206"/>
      <c r="D39" s="206"/>
      <c r="E39" s="142" t="s">
        <v>559</v>
      </c>
      <c r="F39" s="142" t="s">
        <v>98</v>
      </c>
      <c r="G39" s="142" t="s">
        <v>560</v>
      </c>
      <c r="H39" s="142">
        <v>6821</v>
      </c>
      <c r="I39" s="221" t="s">
        <v>126</v>
      </c>
      <c r="J39" s="206"/>
      <c r="K39" s="131" t="s">
        <v>126</v>
      </c>
      <c r="L39" s="206"/>
      <c r="M39" s="142"/>
      <c r="N39" s="206"/>
      <c r="O39" s="142"/>
      <c r="P39" s="206"/>
      <c r="Q39" s="539">
        <v>50</v>
      </c>
      <c r="R39" s="490"/>
      <c r="S39" s="491">
        <v>3.58</v>
      </c>
      <c r="T39" s="142" t="s">
        <v>270</v>
      </c>
      <c r="U39" s="481">
        <f t="shared" si="11"/>
        <v>3.13</v>
      </c>
      <c r="V39" s="490">
        <v>0</v>
      </c>
      <c r="W39" s="490">
        <v>0.45</v>
      </c>
      <c r="X39" s="490">
        <f t="shared" si="5"/>
        <v>22.151</v>
      </c>
      <c r="Y39" s="483">
        <v>0</v>
      </c>
      <c r="Z39" s="490">
        <f t="shared" si="0"/>
        <v>3.33</v>
      </c>
      <c r="AA39" s="490">
        <f t="shared" si="1"/>
        <v>25.481000000000002</v>
      </c>
      <c r="AB39" s="258">
        <f t="shared" si="2"/>
        <v>50.96200000000001</v>
      </c>
      <c r="AC39" s="492">
        <v>11.24</v>
      </c>
      <c r="AD39" s="483">
        <v>0</v>
      </c>
      <c r="AE39" s="492">
        <v>0</v>
      </c>
      <c r="AF39" s="481">
        <f t="shared" si="10"/>
        <v>11.24</v>
      </c>
      <c r="AG39" s="486">
        <f t="shared" si="3"/>
        <v>22.48</v>
      </c>
      <c r="AH39" s="534"/>
      <c r="AI39" s="534">
        <v>10.911</v>
      </c>
      <c r="AJ39" s="534">
        <v>3.33</v>
      </c>
      <c r="AK39" s="494">
        <f t="shared" si="4"/>
        <v>14.241</v>
      </c>
      <c r="AL39" s="535"/>
      <c r="AM39" s="305"/>
    </row>
    <row r="40" spans="1:39" s="254" customFormat="1" ht="20.100000000000001" customHeight="1">
      <c r="A40" s="235"/>
      <c r="B40" s="538" t="s">
        <v>561</v>
      </c>
      <c r="C40" s="206"/>
      <c r="D40" s="206"/>
      <c r="E40" s="142" t="s">
        <v>266</v>
      </c>
      <c r="F40" s="142" t="s">
        <v>98</v>
      </c>
      <c r="G40" s="142" t="s">
        <v>562</v>
      </c>
      <c r="H40" s="142">
        <v>6822</v>
      </c>
      <c r="I40" s="221">
        <v>270</v>
      </c>
      <c r="J40" s="206"/>
      <c r="K40" s="131"/>
      <c r="L40" s="206"/>
      <c r="M40" s="142"/>
      <c r="N40" s="206"/>
      <c r="O40" s="142"/>
      <c r="P40" s="206"/>
      <c r="Q40" s="539">
        <v>8</v>
      </c>
      <c r="R40" s="490"/>
      <c r="S40" s="491">
        <v>0</v>
      </c>
      <c r="T40" s="142" t="s">
        <v>270</v>
      </c>
      <c r="U40" s="481">
        <f t="shared" si="11"/>
        <v>0</v>
      </c>
      <c r="V40" s="490">
        <v>0</v>
      </c>
      <c r="W40" s="490">
        <v>0</v>
      </c>
      <c r="X40" s="490">
        <f t="shared" si="5"/>
        <v>0</v>
      </c>
      <c r="Y40" s="483">
        <v>0</v>
      </c>
      <c r="Z40" s="490">
        <f t="shared" si="0"/>
        <v>0</v>
      </c>
      <c r="AA40" s="490">
        <f t="shared" si="1"/>
        <v>0</v>
      </c>
      <c r="AB40" s="258">
        <f t="shared" si="2"/>
        <v>0</v>
      </c>
      <c r="AC40" s="481">
        <v>0</v>
      </c>
      <c r="AD40" s="483">
        <v>0</v>
      </c>
      <c r="AE40" s="481">
        <v>0</v>
      </c>
      <c r="AF40" s="481">
        <f t="shared" si="10"/>
        <v>0</v>
      </c>
      <c r="AG40" s="486">
        <f t="shared" si="3"/>
        <v>0</v>
      </c>
      <c r="AH40" s="206"/>
      <c r="AI40" s="206"/>
      <c r="AJ40" s="206"/>
      <c r="AK40" s="494">
        <f t="shared" si="4"/>
        <v>0</v>
      </c>
      <c r="AL40" s="526"/>
      <c r="AM40" s="305"/>
    </row>
    <row r="41" spans="1:39" s="254" customFormat="1" ht="20.100000000000001" customHeight="1">
      <c r="A41" s="235"/>
      <c r="B41" s="538" t="s">
        <v>563</v>
      </c>
      <c r="C41" s="206"/>
      <c r="D41" s="206"/>
      <c r="E41" s="142" t="s">
        <v>266</v>
      </c>
      <c r="F41" s="142" t="s">
        <v>98</v>
      </c>
      <c r="G41" s="142" t="s">
        <v>564</v>
      </c>
      <c r="H41" s="142">
        <v>5845</v>
      </c>
      <c r="I41" s="221" t="s">
        <v>126</v>
      </c>
      <c r="J41" s="206"/>
      <c r="K41" s="131"/>
      <c r="L41" s="206"/>
      <c r="M41" s="142"/>
      <c r="N41" s="206"/>
      <c r="O41" s="142"/>
      <c r="P41" s="206"/>
      <c r="Q41" s="539">
        <v>20</v>
      </c>
      <c r="R41" s="490"/>
      <c r="S41" s="491">
        <v>0</v>
      </c>
      <c r="T41" s="142" t="s">
        <v>270</v>
      </c>
      <c r="U41" s="481">
        <f t="shared" si="11"/>
        <v>0</v>
      </c>
      <c r="V41" s="490">
        <v>0</v>
      </c>
      <c r="W41" s="490">
        <v>0</v>
      </c>
      <c r="X41" s="490">
        <f t="shared" si="5"/>
        <v>0</v>
      </c>
      <c r="Y41" s="483">
        <v>0</v>
      </c>
      <c r="Z41" s="490">
        <f t="shared" si="0"/>
        <v>0</v>
      </c>
      <c r="AA41" s="490">
        <f t="shared" si="1"/>
        <v>0</v>
      </c>
      <c r="AB41" s="258">
        <f t="shared" si="2"/>
        <v>0</v>
      </c>
      <c r="AC41" s="481">
        <v>0</v>
      </c>
      <c r="AD41" s="483">
        <v>0</v>
      </c>
      <c r="AE41" s="481">
        <v>0</v>
      </c>
      <c r="AF41" s="481">
        <f t="shared" si="10"/>
        <v>0</v>
      </c>
      <c r="AG41" s="486">
        <f t="shared" si="3"/>
        <v>0</v>
      </c>
      <c r="AH41" s="206"/>
      <c r="AI41" s="206"/>
      <c r="AJ41" s="206"/>
      <c r="AK41" s="494">
        <f t="shared" si="4"/>
        <v>0</v>
      </c>
      <c r="AL41" s="526"/>
      <c r="AM41" s="305"/>
    </row>
    <row r="42" spans="1:39" s="254" customFormat="1" ht="14.25">
      <c r="A42" s="235"/>
      <c r="B42" s="538" t="s">
        <v>565</v>
      </c>
      <c r="C42" s="206"/>
      <c r="D42" s="206"/>
      <c r="E42" s="142" t="s">
        <v>266</v>
      </c>
      <c r="F42" s="142" t="s">
        <v>98</v>
      </c>
      <c r="G42" s="142" t="s">
        <v>566</v>
      </c>
      <c r="H42" s="142">
        <v>6851</v>
      </c>
      <c r="I42" s="221" t="s">
        <v>126</v>
      </c>
      <c r="J42" s="206"/>
      <c r="K42" s="131" t="s">
        <v>126</v>
      </c>
      <c r="L42" s="206"/>
      <c r="M42" s="142"/>
      <c r="N42" s="206"/>
      <c r="O42" s="142"/>
      <c r="P42" s="206"/>
      <c r="Q42" s="539">
        <v>10</v>
      </c>
      <c r="R42" s="490"/>
      <c r="S42" s="491">
        <v>0.5</v>
      </c>
      <c r="T42" s="142" t="s">
        <v>270</v>
      </c>
      <c r="U42" s="481">
        <f t="shared" si="11"/>
        <v>0.44</v>
      </c>
      <c r="V42" s="490">
        <v>0</v>
      </c>
      <c r="W42" s="490">
        <v>0.06</v>
      </c>
      <c r="X42" s="490">
        <f t="shared" si="5"/>
        <v>0</v>
      </c>
      <c r="Y42" s="483">
        <v>0</v>
      </c>
      <c r="Z42" s="490">
        <f t="shared" si="0"/>
        <v>0</v>
      </c>
      <c r="AA42" s="490">
        <f t="shared" si="1"/>
        <v>0</v>
      </c>
      <c r="AB42" s="258">
        <f t="shared" si="2"/>
        <v>0</v>
      </c>
      <c r="AC42" s="481">
        <v>0</v>
      </c>
      <c r="AD42" s="483">
        <v>0</v>
      </c>
      <c r="AE42" s="481">
        <v>0</v>
      </c>
      <c r="AF42" s="481">
        <f t="shared" si="10"/>
        <v>0</v>
      </c>
      <c r="AG42" s="486">
        <f t="shared" si="3"/>
        <v>0</v>
      </c>
      <c r="AH42" s="206"/>
      <c r="AI42" s="206"/>
      <c r="AJ42" s="206"/>
      <c r="AK42" s="494">
        <f t="shared" si="4"/>
        <v>0</v>
      </c>
      <c r="AL42" s="526"/>
      <c r="AM42" s="305"/>
    </row>
    <row r="43" spans="1:39" s="517" customFormat="1" ht="28.15" customHeight="1">
      <c r="A43" s="540"/>
      <c r="B43" s="541" t="s">
        <v>388</v>
      </c>
      <c r="C43" s="271"/>
      <c r="D43" s="271"/>
      <c r="E43" s="174"/>
      <c r="F43" s="174"/>
      <c r="G43" s="174"/>
      <c r="H43" s="174"/>
      <c r="I43" s="542"/>
      <c r="J43" s="271"/>
      <c r="K43" s="174"/>
      <c r="L43" s="271"/>
      <c r="M43" s="174"/>
      <c r="N43" s="271"/>
      <c r="O43" s="174"/>
      <c r="P43" s="271"/>
      <c r="Q43" s="543">
        <f>SUM(Q27:Q42)</f>
        <v>367</v>
      </c>
      <c r="R43" s="522"/>
      <c r="S43" s="543">
        <f>SUM(S27:S42)</f>
        <v>42.959999999999994</v>
      </c>
      <c r="T43" s="271"/>
      <c r="U43" s="543">
        <f>SUM(U27:U42)</f>
        <v>31.900000000000002</v>
      </c>
      <c r="V43" s="543">
        <f>SUM(V27:V42)</f>
        <v>0</v>
      </c>
      <c r="W43" s="543">
        <f>SUM(W27:W42)</f>
        <v>11.060000000000002</v>
      </c>
      <c r="X43" s="522">
        <f>SUM(X28:X42)</f>
        <v>118.05499999999999</v>
      </c>
      <c r="Y43" s="522">
        <f>SUM(Y28:Y42)</f>
        <v>0</v>
      </c>
      <c r="Z43" s="522">
        <f>SUM(Z28:Z42)</f>
        <v>20.946999999999996</v>
      </c>
      <c r="AA43" s="522">
        <f t="shared" si="1"/>
        <v>139.00199999999998</v>
      </c>
      <c r="AB43" s="523">
        <f t="shared" si="2"/>
        <v>37.87520435967302</v>
      </c>
      <c r="AC43" s="543">
        <f>SUM(AC26:AC42)</f>
        <v>54.4</v>
      </c>
      <c r="AD43" s="522">
        <f>SUM(AD28:AD42)</f>
        <v>0</v>
      </c>
      <c r="AE43" s="543">
        <f>SUM(AE26:AE42)</f>
        <v>12.65</v>
      </c>
      <c r="AF43" s="543">
        <f>SUM(AF26:AF42)</f>
        <v>67.05</v>
      </c>
      <c r="AG43" s="523">
        <f t="shared" si="3"/>
        <v>18.269754768392371</v>
      </c>
      <c r="AH43" s="543"/>
      <c r="AI43" s="544">
        <f>SUM(AI27:AI42)</f>
        <v>225.65700000000001</v>
      </c>
      <c r="AJ43" s="544">
        <f>SUM(AJ27:AJ42)</f>
        <v>8.2970000000000006</v>
      </c>
      <c r="AK43" s="544">
        <f>SUM(AK27:AK42)</f>
        <v>233.95400000000001</v>
      </c>
      <c r="AL43" s="545"/>
      <c r="AM43" s="516"/>
    </row>
    <row r="44" spans="1:39" ht="34.5" customHeight="1">
      <c r="A44" s="469"/>
      <c r="B44" s="538" t="s">
        <v>567</v>
      </c>
      <c r="C44" s="206"/>
      <c r="D44" s="206"/>
      <c r="E44" s="142"/>
      <c r="F44" s="221"/>
      <c r="G44" s="142"/>
      <c r="H44" s="221"/>
      <c r="I44" s="221"/>
      <c r="J44" s="206"/>
      <c r="K44" s="131"/>
      <c r="L44" s="206"/>
      <c r="M44" s="142"/>
      <c r="N44" s="206"/>
      <c r="O44" s="142"/>
      <c r="P44" s="206"/>
      <c r="Q44" s="539"/>
      <c r="R44" s="490"/>
      <c r="S44" s="491"/>
      <c r="T44" s="206"/>
      <c r="U44" s="490"/>
      <c r="V44" s="490"/>
      <c r="W44" s="490"/>
      <c r="X44" s="490"/>
      <c r="Y44" s="490"/>
      <c r="Z44" s="490"/>
      <c r="AA44" s="490"/>
      <c r="AB44" s="258"/>
      <c r="AC44" s="481"/>
      <c r="AD44" s="481"/>
      <c r="AE44" s="481"/>
      <c r="AF44" s="481"/>
      <c r="AG44" s="486"/>
      <c r="AH44" s="206"/>
      <c r="AI44" s="206"/>
      <c r="AJ44" s="206"/>
      <c r="AK44" s="494">
        <f t="shared" si="4"/>
        <v>0</v>
      </c>
      <c r="AL44" s="526"/>
      <c r="AM44" s="305"/>
    </row>
    <row r="45" spans="1:39" s="254" customFormat="1" ht="30.4" customHeight="1">
      <c r="A45" s="230"/>
      <c r="B45" s="538" t="s">
        <v>568</v>
      </c>
      <c r="C45" s="206"/>
      <c r="D45" s="206"/>
      <c r="E45" s="142" t="s">
        <v>569</v>
      </c>
      <c r="F45" s="221" t="s">
        <v>278</v>
      </c>
      <c r="G45" s="142" t="s">
        <v>570</v>
      </c>
      <c r="H45" s="221">
        <v>4901</v>
      </c>
      <c r="I45" s="221">
        <v>32</v>
      </c>
      <c r="J45" s="206"/>
      <c r="K45" s="131">
        <v>11</v>
      </c>
      <c r="L45" s="206"/>
      <c r="M45" s="142"/>
      <c r="N45" s="206"/>
      <c r="O45" s="142"/>
      <c r="P45" s="206"/>
      <c r="Q45" s="539">
        <v>27</v>
      </c>
      <c r="R45" s="490"/>
      <c r="S45" s="546">
        <v>10</v>
      </c>
      <c r="T45" s="142" t="s">
        <v>270</v>
      </c>
      <c r="U45" s="490">
        <f t="shared" ref="U45:U53" si="12">S45-W45</f>
        <v>8.75</v>
      </c>
      <c r="V45" s="490">
        <v>0</v>
      </c>
      <c r="W45" s="490">
        <v>1.25</v>
      </c>
      <c r="X45" s="490">
        <f t="shared" si="5"/>
        <v>3.6</v>
      </c>
      <c r="Y45" s="483">
        <v>0</v>
      </c>
      <c r="Z45" s="490">
        <f t="shared" si="0"/>
        <v>0</v>
      </c>
      <c r="AA45" s="490">
        <f t="shared" si="1"/>
        <v>3.6</v>
      </c>
      <c r="AB45" s="258">
        <f t="shared" si="2"/>
        <v>13.333333333333334</v>
      </c>
      <c r="AC45" s="481">
        <v>3.6</v>
      </c>
      <c r="AD45" s="483">
        <v>0</v>
      </c>
      <c r="AE45" s="481">
        <v>0</v>
      </c>
      <c r="AF45" s="481">
        <f t="shared" si="10"/>
        <v>3.6</v>
      </c>
      <c r="AG45" s="486">
        <f t="shared" si="3"/>
        <v>13.333333333333334</v>
      </c>
      <c r="AH45" s="194"/>
      <c r="AI45" s="194"/>
      <c r="AJ45" s="194"/>
      <c r="AK45" s="494">
        <f>SUM(AI45:AJ45)</f>
        <v>0</v>
      </c>
      <c r="AL45" s="547"/>
      <c r="AM45" s="305"/>
    </row>
    <row r="46" spans="1:39" s="254" customFormat="1" ht="14.25">
      <c r="A46" s="235"/>
      <c r="B46" s="538" t="s">
        <v>571</v>
      </c>
      <c r="C46" s="206"/>
      <c r="D46" s="206"/>
      <c r="E46" s="142" t="s">
        <v>569</v>
      </c>
      <c r="F46" s="221" t="s">
        <v>267</v>
      </c>
      <c r="G46" s="142" t="s">
        <v>572</v>
      </c>
      <c r="H46" s="221">
        <v>4906</v>
      </c>
      <c r="I46" s="221" t="s">
        <v>126</v>
      </c>
      <c r="J46" s="206"/>
      <c r="K46" s="131" t="s">
        <v>126</v>
      </c>
      <c r="L46" s="206"/>
      <c r="M46" s="142"/>
      <c r="N46" s="206"/>
      <c r="O46" s="142"/>
      <c r="P46" s="206"/>
      <c r="Q46" s="539">
        <v>10</v>
      </c>
      <c r="R46" s="490"/>
      <c r="S46" s="491">
        <v>2.2999999999999998</v>
      </c>
      <c r="T46" s="142" t="s">
        <v>270</v>
      </c>
      <c r="U46" s="481">
        <f t="shared" si="12"/>
        <v>2.0099999999999998</v>
      </c>
      <c r="V46" s="490">
        <v>0</v>
      </c>
      <c r="W46" s="490">
        <v>0.28999999999999998</v>
      </c>
      <c r="X46" s="490">
        <f t="shared" si="5"/>
        <v>0</v>
      </c>
      <c r="Y46" s="483">
        <v>0</v>
      </c>
      <c r="Z46" s="490">
        <f t="shared" si="0"/>
        <v>0</v>
      </c>
      <c r="AA46" s="490">
        <f t="shared" si="1"/>
        <v>0</v>
      </c>
      <c r="AB46" s="258">
        <f t="shared" si="2"/>
        <v>0</v>
      </c>
      <c r="AC46" s="481">
        <v>0</v>
      </c>
      <c r="AD46" s="483">
        <v>0</v>
      </c>
      <c r="AE46" s="481">
        <v>0</v>
      </c>
      <c r="AF46" s="481">
        <f t="shared" si="10"/>
        <v>0</v>
      </c>
      <c r="AG46" s="486">
        <f t="shared" si="3"/>
        <v>0</v>
      </c>
      <c r="AH46" s="206"/>
      <c r="AI46" s="206"/>
      <c r="AJ46" s="206"/>
      <c r="AK46" s="494">
        <f t="shared" si="4"/>
        <v>0</v>
      </c>
      <c r="AL46" s="526"/>
      <c r="AM46" s="305"/>
    </row>
    <row r="47" spans="1:39" s="254" customFormat="1" ht="23.65" customHeight="1">
      <c r="A47" s="235"/>
      <c r="B47" s="538" t="s">
        <v>573</v>
      </c>
      <c r="C47" s="206"/>
      <c r="D47" s="206"/>
      <c r="E47" s="142" t="s">
        <v>569</v>
      </c>
      <c r="F47" s="221" t="s">
        <v>126</v>
      </c>
      <c r="G47" s="142" t="s">
        <v>574</v>
      </c>
      <c r="H47" s="221">
        <v>4911</v>
      </c>
      <c r="I47" s="221">
        <f>(99+15+39)</f>
        <v>153</v>
      </c>
      <c r="J47" s="206"/>
      <c r="K47" s="131" t="s">
        <v>126</v>
      </c>
      <c r="L47" s="206"/>
      <c r="M47" s="142"/>
      <c r="N47" s="206"/>
      <c r="O47" s="142"/>
      <c r="P47" s="206"/>
      <c r="Q47" s="539">
        <v>49.5</v>
      </c>
      <c r="R47" s="490"/>
      <c r="S47" s="491">
        <v>8.02</v>
      </c>
      <c r="T47" s="142" t="s">
        <v>270</v>
      </c>
      <c r="U47" s="481">
        <f t="shared" si="12"/>
        <v>7.02</v>
      </c>
      <c r="V47" s="490">
        <v>0</v>
      </c>
      <c r="W47" s="490">
        <v>1</v>
      </c>
      <c r="X47" s="490">
        <f t="shared" si="5"/>
        <v>0.42</v>
      </c>
      <c r="Y47" s="483">
        <v>0</v>
      </c>
      <c r="Z47" s="490">
        <f t="shared" si="0"/>
        <v>0</v>
      </c>
      <c r="AA47" s="490">
        <f t="shared" si="1"/>
        <v>0.42</v>
      </c>
      <c r="AB47" s="258">
        <f t="shared" si="2"/>
        <v>0.84848484848484851</v>
      </c>
      <c r="AC47" s="490">
        <v>0.42</v>
      </c>
      <c r="AD47" s="483">
        <v>0</v>
      </c>
      <c r="AE47" s="490">
        <v>0</v>
      </c>
      <c r="AF47" s="481">
        <f t="shared" si="10"/>
        <v>0.42</v>
      </c>
      <c r="AG47" s="486">
        <f t="shared" si="3"/>
        <v>0.84848484848484851</v>
      </c>
      <c r="AH47" s="206"/>
      <c r="AI47" s="206">
        <v>0</v>
      </c>
      <c r="AJ47" s="206">
        <v>0</v>
      </c>
      <c r="AK47" s="494">
        <f t="shared" si="4"/>
        <v>0</v>
      </c>
      <c r="AL47" s="526"/>
      <c r="AM47" s="305"/>
    </row>
    <row r="48" spans="1:39" s="254" customFormat="1" ht="20.100000000000001" customHeight="1">
      <c r="A48" s="235"/>
      <c r="B48" s="538" t="s">
        <v>575</v>
      </c>
      <c r="C48" s="206"/>
      <c r="D48" s="206"/>
      <c r="E48" s="142" t="s">
        <v>569</v>
      </c>
      <c r="F48" s="221" t="s">
        <v>267</v>
      </c>
      <c r="G48" s="142" t="s">
        <v>576</v>
      </c>
      <c r="H48" s="221">
        <v>4916</v>
      </c>
      <c r="I48" s="221" t="s">
        <v>126</v>
      </c>
      <c r="J48" s="206"/>
      <c r="K48" s="131" t="s">
        <v>126</v>
      </c>
      <c r="L48" s="206"/>
      <c r="M48" s="142"/>
      <c r="N48" s="206"/>
      <c r="O48" s="142"/>
      <c r="P48" s="206"/>
      <c r="Q48" s="539">
        <v>20</v>
      </c>
      <c r="R48" s="490"/>
      <c r="S48" s="491">
        <v>7.5</v>
      </c>
      <c r="T48" s="142" t="s">
        <v>270</v>
      </c>
      <c r="U48" s="481">
        <f t="shared" si="12"/>
        <v>6.5600000000000005</v>
      </c>
      <c r="V48" s="490">
        <v>0</v>
      </c>
      <c r="W48" s="490">
        <v>0.94</v>
      </c>
      <c r="X48" s="490">
        <f t="shared" si="5"/>
        <v>0</v>
      </c>
      <c r="Y48" s="483">
        <v>0</v>
      </c>
      <c r="Z48" s="490">
        <f t="shared" si="0"/>
        <v>0</v>
      </c>
      <c r="AA48" s="490">
        <f t="shared" si="1"/>
        <v>0</v>
      </c>
      <c r="AB48" s="258">
        <f t="shared" si="2"/>
        <v>0</v>
      </c>
      <c r="AC48" s="481">
        <v>0</v>
      </c>
      <c r="AD48" s="483">
        <v>0</v>
      </c>
      <c r="AE48" s="481">
        <v>0</v>
      </c>
      <c r="AF48" s="481">
        <f t="shared" si="10"/>
        <v>0</v>
      </c>
      <c r="AG48" s="486">
        <f t="shared" si="3"/>
        <v>0</v>
      </c>
      <c r="AH48" s="206"/>
      <c r="AI48" s="206"/>
      <c r="AJ48" s="206"/>
      <c r="AK48" s="494">
        <f t="shared" si="4"/>
        <v>0</v>
      </c>
      <c r="AL48" s="526"/>
      <c r="AM48" s="305"/>
    </row>
    <row r="49" spans="1:39" s="254" customFormat="1" ht="20.100000000000001" customHeight="1">
      <c r="A49" s="235"/>
      <c r="B49" s="538" t="s">
        <v>577</v>
      </c>
      <c r="C49" s="142"/>
      <c r="D49" s="142"/>
      <c r="E49" s="142" t="s">
        <v>569</v>
      </c>
      <c r="F49" s="221" t="s">
        <v>267</v>
      </c>
      <c r="G49" s="142" t="s">
        <v>578</v>
      </c>
      <c r="H49" s="221" t="s">
        <v>579</v>
      </c>
      <c r="I49" s="221" t="s">
        <v>126</v>
      </c>
      <c r="J49" s="206"/>
      <c r="K49" s="131" t="s">
        <v>126</v>
      </c>
      <c r="L49" s="206"/>
      <c r="M49" s="142"/>
      <c r="N49" s="206"/>
      <c r="O49" s="142"/>
      <c r="P49" s="206"/>
      <c r="Q49" s="539">
        <v>45</v>
      </c>
      <c r="R49" s="490"/>
      <c r="S49" s="491">
        <v>9</v>
      </c>
      <c r="T49" s="142" t="s">
        <v>270</v>
      </c>
      <c r="U49" s="481">
        <f t="shared" si="12"/>
        <v>7.87</v>
      </c>
      <c r="V49" s="490">
        <v>0</v>
      </c>
      <c r="W49" s="490">
        <v>1.1299999999999999</v>
      </c>
      <c r="X49" s="490">
        <f t="shared" si="5"/>
        <v>9.1999999999999993</v>
      </c>
      <c r="Y49" s="483">
        <v>0</v>
      </c>
      <c r="Z49" s="490">
        <f t="shared" si="0"/>
        <v>0</v>
      </c>
      <c r="AA49" s="490">
        <f t="shared" si="1"/>
        <v>9.1999999999999993</v>
      </c>
      <c r="AB49" s="258">
        <f t="shared" si="2"/>
        <v>20.444444444444443</v>
      </c>
      <c r="AC49" s="490">
        <v>9.1999999999999993</v>
      </c>
      <c r="AD49" s="483">
        <v>0</v>
      </c>
      <c r="AE49" s="481">
        <v>0</v>
      </c>
      <c r="AF49" s="481">
        <f t="shared" si="10"/>
        <v>9.1999999999999993</v>
      </c>
      <c r="AG49" s="486">
        <f t="shared" si="3"/>
        <v>20.444444444444443</v>
      </c>
      <c r="AH49" s="206"/>
      <c r="AI49" s="206"/>
      <c r="AJ49" s="206"/>
      <c r="AK49" s="494">
        <f t="shared" si="4"/>
        <v>0</v>
      </c>
      <c r="AL49" s="526"/>
      <c r="AM49" s="305"/>
    </row>
    <row r="50" spans="1:39" s="254" customFormat="1" ht="20.100000000000001" customHeight="1">
      <c r="A50" s="235"/>
      <c r="B50" s="538" t="s">
        <v>580</v>
      </c>
      <c r="C50" s="206"/>
      <c r="D50" s="206"/>
      <c r="E50" s="142" t="s">
        <v>569</v>
      </c>
      <c r="F50" s="221" t="s">
        <v>267</v>
      </c>
      <c r="G50" s="142" t="s">
        <v>581</v>
      </c>
      <c r="H50" s="221">
        <v>4932</v>
      </c>
      <c r="I50" s="221">
        <v>31</v>
      </c>
      <c r="J50" s="206"/>
      <c r="K50" s="131"/>
      <c r="L50" s="206"/>
      <c r="M50" s="142"/>
      <c r="N50" s="206"/>
      <c r="O50" s="142"/>
      <c r="P50" s="206"/>
      <c r="Q50" s="539">
        <v>11</v>
      </c>
      <c r="R50" s="490"/>
      <c r="S50" s="491">
        <v>7.5</v>
      </c>
      <c r="T50" s="142" t="s">
        <v>270</v>
      </c>
      <c r="U50" s="481">
        <f t="shared" si="12"/>
        <v>5</v>
      </c>
      <c r="V50" s="490">
        <v>0</v>
      </c>
      <c r="W50" s="490">
        <v>2.5</v>
      </c>
      <c r="X50" s="490">
        <f t="shared" si="5"/>
        <v>0</v>
      </c>
      <c r="Y50" s="483">
        <v>0</v>
      </c>
      <c r="Z50" s="490">
        <f t="shared" si="0"/>
        <v>0</v>
      </c>
      <c r="AA50" s="490">
        <f t="shared" si="1"/>
        <v>0</v>
      </c>
      <c r="AB50" s="258">
        <f t="shared" si="2"/>
        <v>0</v>
      </c>
      <c r="AC50" s="481">
        <v>0</v>
      </c>
      <c r="AD50" s="483">
        <v>0</v>
      </c>
      <c r="AE50" s="481">
        <v>0</v>
      </c>
      <c r="AF50" s="481">
        <f t="shared" si="10"/>
        <v>0</v>
      </c>
      <c r="AG50" s="486">
        <f t="shared" si="3"/>
        <v>0</v>
      </c>
      <c r="AH50" s="206"/>
      <c r="AI50" s="206"/>
      <c r="AJ50" s="206"/>
      <c r="AK50" s="494">
        <f t="shared" si="4"/>
        <v>0</v>
      </c>
      <c r="AL50" s="526"/>
      <c r="AM50" s="305"/>
    </row>
    <row r="51" spans="1:39" s="254" customFormat="1" ht="20.100000000000001" customHeight="1">
      <c r="A51" s="235"/>
      <c r="B51" s="538" t="s">
        <v>582</v>
      </c>
      <c r="C51" s="142"/>
      <c r="D51" s="142"/>
      <c r="E51" s="142" t="s">
        <v>569</v>
      </c>
      <c r="F51" s="221" t="s">
        <v>267</v>
      </c>
      <c r="G51" s="142" t="s">
        <v>583</v>
      </c>
      <c r="H51" s="221">
        <v>4991</v>
      </c>
      <c r="I51" s="221" t="s">
        <v>126</v>
      </c>
      <c r="J51" s="206"/>
      <c r="K51" s="131" t="s">
        <v>126</v>
      </c>
      <c r="L51" s="206"/>
      <c r="M51" s="142"/>
      <c r="N51" s="206"/>
      <c r="O51" s="142"/>
      <c r="P51" s="206"/>
      <c r="Q51" s="539">
        <v>10</v>
      </c>
      <c r="R51" s="490"/>
      <c r="S51" s="491">
        <v>2</v>
      </c>
      <c r="T51" s="142" t="s">
        <v>270</v>
      </c>
      <c r="U51" s="481">
        <f t="shared" si="12"/>
        <v>1.75</v>
      </c>
      <c r="V51" s="490">
        <v>0</v>
      </c>
      <c r="W51" s="490">
        <v>0.25</v>
      </c>
      <c r="X51" s="490">
        <f t="shared" si="5"/>
        <v>0</v>
      </c>
      <c r="Y51" s="483">
        <v>0</v>
      </c>
      <c r="Z51" s="490">
        <f t="shared" si="0"/>
        <v>0</v>
      </c>
      <c r="AA51" s="490">
        <f t="shared" si="1"/>
        <v>0</v>
      </c>
      <c r="AB51" s="258">
        <f t="shared" si="2"/>
        <v>0</v>
      </c>
      <c r="AC51" s="481">
        <v>0</v>
      </c>
      <c r="AD51" s="483">
        <v>0</v>
      </c>
      <c r="AE51" s="481">
        <v>0</v>
      </c>
      <c r="AF51" s="481">
        <f t="shared" si="10"/>
        <v>0</v>
      </c>
      <c r="AG51" s="486">
        <f t="shared" si="3"/>
        <v>0</v>
      </c>
      <c r="AH51" s="206"/>
      <c r="AI51" s="206"/>
      <c r="AJ51" s="206"/>
      <c r="AK51" s="494">
        <f t="shared" si="4"/>
        <v>0</v>
      </c>
      <c r="AL51" s="526"/>
      <c r="AM51" s="305"/>
    </row>
    <row r="52" spans="1:39" ht="53.25" customHeight="1">
      <c r="A52" s="138"/>
      <c r="B52" s="206" t="s">
        <v>584</v>
      </c>
      <c r="C52" s="142"/>
      <c r="D52" s="142"/>
      <c r="E52" s="142" t="s">
        <v>569</v>
      </c>
      <c r="F52" s="142" t="s">
        <v>267</v>
      </c>
      <c r="G52" s="142" t="s">
        <v>585</v>
      </c>
      <c r="H52" s="142" t="s">
        <v>586</v>
      </c>
      <c r="I52" s="142">
        <v>21</v>
      </c>
      <c r="J52" s="206"/>
      <c r="K52" s="131"/>
      <c r="L52" s="206"/>
      <c r="M52" s="142"/>
      <c r="N52" s="206"/>
      <c r="O52" s="142"/>
      <c r="P52" s="206"/>
      <c r="Q52" s="490">
        <v>1218.6500000000001</v>
      </c>
      <c r="R52" s="490"/>
      <c r="S52" s="491">
        <v>127.99</v>
      </c>
      <c r="T52" s="142" t="s">
        <v>1</v>
      </c>
      <c r="U52" s="481">
        <f t="shared" si="12"/>
        <v>0</v>
      </c>
      <c r="V52" s="490">
        <v>0</v>
      </c>
      <c r="W52" s="490">
        <v>127.99</v>
      </c>
      <c r="X52" s="490">
        <f t="shared" si="5"/>
        <v>0</v>
      </c>
      <c r="Y52" s="483">
        <v>0</v>
      </c>
      <c r="Z52" s="490">
        <f t="shared" si="0"/>
        <v>101.91</v>
      </c>
      <c r="AA52" s="490">
        <f t="shared" si="1"/>
        <v>101.91</v>
      </c>
      <c r="AB52" s="258">
        <f t="shared" si="2"/>
        <v>8.362532310343413</v>
      </c>
      <c r="AC52" s="319">
        <v>0</v>
      </c>
      <c r="AD52" s="483">
        <v>0</v>
      </c>
      <c r="AE52" s="319">
        <v>66.069999999999993</v>
      </c>
      <c r="AF52" s="481">
        <f t="shared" si="10"/>
        <v>66.069999999999993</v>
      </c>
      <c r="AG52" s="486">
        <f t="shared" si="3"/>
        <v>5.4215730521478678</v>
      </c>
      <c r="AH52" s="144"/>
      <c r="AI52" s="548">
        <v>0</v>
      </c>
      <c r="AJ52" s="548">
        <v>35.840000000000003</v>
      </c>
      <c r="AK52" s="549">
        <f t="shared" si="4"/>
        <v>35.840000000000003</v>
      </c>
      <c r="AL52" s="550"/>
      <c r="AM52" s="551"/>
    </row>
    <row r="53" spans="1:39" s="324" customFormat="1" ht="204.95" customHeight="1">
      <c r="A53" s="487"/>
      <c r="B53" s="206" t="s">
        <v>587</v>
      </c>
      <c r="C53" s="317"/>
      <c r="D53" s="317"/>
      <c r="E53" s="142" t="s">
        <v>569</v>
      </c>
      <c r="F53" s="142" t="s">
        <v>126</v>
      </c>
      <c r="G53" s="142" t="s">
        <v>588</v>
      </c>
      <c r="H53" s="552" t="s">
        <v>589</v>
      </c>
      <c r="I53" s="142" t="s">
        <v>126</v>
      </c>
      <c r="J53" s="142"/>
      <c r="K53" s="131" t="s">
        <v>126</v>
      </c>
      <c r="L53" s="142"/>
      <c r="M53" s="142"/>
      <c r="N53" s="142"/>
      <c r="O53" s="142"/>
      <c r="P53" s="142"/>
      <c r="Q53" s="490">
        <f>2101.72</f>
        <v>2101.7199999999998</v>
      </c>
      <c r="R53" s="490"/>
      <c r="S53" s="491">
        <v>312.52999999999997</v>
      </c>
      <c r="T53" s="142" t="s">
        <v>317</v>
      </c>
      <c r="U53" s="553">
        <f t="shared" si="12"/>
        <v>273.45999999999998</v>
      </c>
      <c r="V53" s="154">
        <v>0</v>
      </c>
      <c r="W53" s="154">
        <v>39.07</v>
      </c>
      <c r="X53" s="490">
        <f>AC53+AI53</f>
        <v>100.07000000000001</v>
      </c>
      <c r="Y53" s="483">
        <v>0</v>
      </c>
      <c r="Z53" s="490">
        <f>AE53+AJ53</f>
        <v>123.98000000000002</v>
      </c>
      <c r="AA53" s="490">
        <f>SUM(X53:Z53)</f>
        <v>224.05</v>
      </c>
      <c r="AB53" s="258">
        <f t="shared" si="2"/>
        <v>10.660316312353693</v>
      </c>
      <c r="AC53" s="490">
        <f>34.34+9.36+0+15.93+0.17+0+1.07</f>
        <v>60.870000000000005</v>
      </c>
      <c r="AD53" s="483">
        <v>0</v>
      </c>
      <c r="AE53" s="490">
        <f>46.88+0.29+18.77+3.26+6.17+2.59+0</f>
        <v>77.960000000000008</v>
      </c>
      <c r="AF53" s="481">
        <f t="shared" si="10"/>
        <v>138.83000000000001</v>
      </c>
      <c r="AG53" s="486">
        <f t="shared" si="3"/>
        <v>6.6055421274004162</v>
      </c>
      <c r="AH53" s="554"/>
      <c r="AI53" s="554">
        <v>39.200000000000003</v>
      </c>
      <c r="AJ53" s="554">
        <v>46.02</v>
      </c>
      <c r="AK53" s="494">
        <f>SUM(AI53:AJ53)</f>
        <v>85.22</v>
      </c>
      <c r="AL53" s="555"/>
      <c r="AM53" s="496"/>
    </row>
    <row r="54" spans="1:39" s="324" customFormat="1" ht="33" customHeight="1">
      <c r="A54" s="556"/>
      <c r="B54" s="557" t="s">
        <v>457</v>
      </c>
      <c r="C54" s="558"/>
      <c r="D54" s="558"/>
      <c r="E54" s="558"/>
      <c r="F54" s="558"/>
      <c r="G54" s="558"/>
      <c r="H54" s="558"/>
      <c r="I54" s="559"/>
      <c r="J54" s="559"/>
      <c r="K54" s="560"/>
      <c r="L54" s="559"/>
      <c r="M54" s="559"/>
      <c r="N54" s="559"/>
      <c r="O54" s="559"/>
      <c r="P54" s="559"/>
      <c r="Q54" s="522">
        <f>SUM(Q45:Q53)</f>
        <v>3492.87</v>
      </c>
      <c r="R54" s="561"/>
      <c r="S54" s="562">
        <f>SUM(S45:S53)</f>
        <v>486.84</v>
      </c>
      <c r="T54" s="559"/>
      <c r="U54" s="562">
        <f>SUM(U45:U53)</f>
        <v>312.41999999999996</v>
      </c>
      <c r="V54" s="562">
        <f t="shared" ref="V54:AM54" si="13">SUM(V45:V53)</f>
        <v>0</v>
      </c>
      <c r="W54" s="562">
        <f>SUM(W45:W53)</f>
        <v>174.42</v>
      </c>
      <c r="X54" s="562">
        <f t="shared" si="13"/>
        <v>113.29</v>
      </c>
      <c r="Y54" s="562">
        <f t="shared" si="13"/>
        <v>0</v>
      </c>
      <c r="Z54" s="562">
        <f t="shared" si="13"/>
        <v>225.89000000000001</v>
      </c>
      <c r="AA54" s="562">
        <f t="shared" si="13"/>
        <v>339.18</v>
      </c>
      <c r="AB54" s="563">
        <f t="shared" si="2"/>
        <v>9.7106391019419558</v>
      </c>
      <c r="AC54" s="562">
        <f t="shared" si="13"/>
        <v>74.09</v>
      </c>
      <c r="AD54" s="562">
        <f t="shared" si="13"/>
        <v>0</v>
      </c>
      <c r="AE54" s="562">
        <f t="shared" si="13"/>
        <v>144.03</v>
      </c>
      <c r="AF54" s="562">
        <f t="shared" si="13"/>
        <v>218.12</v>
      </c>
      <c r="AG54" s="563">
        <f t="shared" si="3"/>
        <v>6.2447213895736171</v>
      </c>
      <c r="AH54" s="564"/>
      <c r="AI54" s="565">
        <f t="shared" si="13"/>
        <v>39.200000000000003</v>
      </c>
      <c r="AJ54" s="565">
        <f>SUM(AJ45:AJ53)</f>
        <v>81.860000000000014</v>
      </c>
      <c r="AK54" s="565">
        <f>SUM(AK45:AK53)</f>
        <v>121.06</v>
      </c>
      <c r="AL54" s="565">
        <f t="shared" si="13"/>
        <v>0</v>
      </c>
      <c r="AM54" s="565">
        <f t="shared" si="13"/>
        <v>0</v>
      </c>
    </row>
    <row r="55" spans="1:39" s="31" customFormat="1" ht="28.9" customHeight="1">
      <c r="A55" s="654" t="s">
        <v>590</v>
      </c>
      <c r="B55" s="655"/>
      <c r="C55" s="655"/>
      <c r="D55" s="655"/>
      <c r="E55" s="655"/>
      <c r="F55" s="655"/>
      <c r="G55" s="655"/>
      <c r="H55" s="655"/>
      <c r="I55" s="655"/>
      <c r="J55" s="655"/>
      <c r="K55" s="655"/>
      <c r="L55" s="656"/>
      <c r="M55" s="566"/>
      <c r="N55" s="566"/>
      <c r="O55" s="566"/>
      <c r="P55" s="566"/>
      <c r="Q55" s="380">
        <f>Q54+Q43+Q25</f>
        <v>4895.75</v>
      </c>
      <c r="R55" s="380"/>
      <c r="S55" s="380">
        <f>S54+S43+S25</f>
        <v>762.05</v>
      </c>
      <c r="T55" s="272"/>
      <c r="U55" s="380">
        <f t="shared" ref="U55:AA55" si="14">U54+U43+U25</f>
        <v>550.91</v>
      </c>
      <c r="V55" s="380">
        <f t="shared" si="14"/>
        <v>0</v>
      </c>
      <c r="W55" s="380">
        <f t="shared" si="14"/>
        <v>211.14</v>
      </c>
      <c r="X55" s="380">
        <f t="shared" si="14"/>
        <v>347.69499999999999</v>
      </c>
      <c r="Y55" s="380">
        <f t="shared" si="14"/>
        <v>0</v>
      </c>
      <c r="Z55" s="380">
        <f t="shared" si="14"/>
        <v>246.83700000000002</v>
      </c>
      <c r="AA55" s="380">
        <f t="shared" si="14"/>
        <v>594.53200000000004</v>
      </c>
      <c r="AB55" s="523">
        <f t="shared" si="2"/>
        <v>12.143839044068836</v>
      </c>
      <c r="AC55" s="380">
        <f>AC54+AC43+AC25</f>
        <v>178.76</v>
      </c>
      <c r="AD55" s="380">
        <f t="shared" ref="AD55" si="15">AD54+AD43+AD25</f>
        <v>0</v>
      </c>
      <c r="AE55" s="380">
        <f>AE54+AE43+AE25</f>
        <v>156.68</v>
      </c>
      <c r="AF55" s="380">
        <f>AF54+AF43+AF25</f>
        <v>335.44</v>
      </c>
      <c r="AG55" s="523">
        <f t="shared" si="3"/>
        <v>6.8516570494816937</v>
      </c>
      <c r="AH55" s="380"/>
      <c r="AI55" s="207">
        <f>AI54+AI43+AI25</f>
        <v>314.16600000000005</v>
      </c>
      <c r="AJ55" s="207">
        <f>AJ54+AJ43+AJ25</f>
        <v>90.157000000000011</v>
      </c>
      <c r="AK55" s="207">
        <f>AK54+AK43+AK25</f>
        <v>404.32299999999998</v>
      </c>
      <c r="AL55" s="207">
        <f>AL54+AL43+AL25</f>
        <v>0</v>
      </c>
      <c r="AM55" s="207">
        <f>AM54+AM43+AM25</f>
        <v>0</v>
      </c>
    </row>
    <row r="56" spans="1:39" hidden="1">
      <c r="A56" s="567"/>
      <c r="B56" s="567"/>
      <c r="C56" s="567"/>
      <c r="D56" s="567"/>
      <c r="E56" s="567"/>
      <c r="F56" s="567"/>
      <c r="G56" s="567"/>
      <c r="H56" s="567"/>
      <c r="I56" s="567"/>
      <c r="J56" s="567"/>
      <c r="K56" s="287"/>
      <c r="Q56" s="568"/>
      <c r="R56" s="568"/>
      <c r="S56" s="569"/>
      <c r="U56" s="568"/>
      <c r="V56" s="568"/>
      <c r="W56" s="568"/>
      <c r="X56" s="568"/>
      <c r="Y56" s="568"/>
      <c r="Z56" s="568"/>
      <c r="AA56" s="568"/>
      <c r="AB56" s="258" t="e">
        <f t="shared" si="2"/>
        <v>#DIV/0!</v>
      </c>
      <c r="AC56" s="568"/>
      <c r="AD56" s="568"/>
      <c r="AE56" s="568"/>
      <c r="AF56" s="568"/>
      <c r="AG56" s="486" t="e">
        <f t="shared" si="3"/>
        <v>#DIV/0!</v>
      </c>
      <c r="AM56" s="570"/>
    </row>
    <row r="57" spans="1:39" hidden="1">
      <c r="A57" s="567"/>
      <c r="B57" s="567"/>
      <c r="C57" s="567"/>
      <c r="D57" s="567"/>
      <c r="E57" s="567"/>
      <c r="F57" s="567"/>
      <c r="G57" s="567"/>
      <c r="H57" s="567"/>
      <c r="I57" s="567"/>
      <c r="J57" s="567"/>
      <c r="K57" s="287"/>
      <c r="Q57" s="568"/>
      <c r="R57" s="568"/>
      <c r="S57" s="569"/>
      <c r="U57" s="568"/>
      <c r="V57" s="568"/>
      <c r="W57" s="568"/>
      <c r="X57" s="568"/>
      <c r="Y57" s="568"/>
      <c r="Z57" s="568"/>
      <c r="AA57" s="571">
        <f>AA55/Q55</f>
        <v>0.12143839044068835</v>
      </c>
      <c r="AB57" s="258" t="e">
        <f t="shared" si="2"/>
        <v>#DIV/0!</v>
      </c>
      <c r="AC57" s="571"/>
      <c r="AD57" s="571"/>
      <c r="AE57" s="571"/>
      <c r="AF57" s="571"/>
      <c r="AG57" s="486" t="e">
        <f t="shared" si="3"/>
        <v>#DIV/0!</v>
      </c>
      <c r="AH57" s="572"/>
      <c r="AI57" s="119">
        <v>574.09232999999995</v>
      </c>
      <c r="AJ57" s="119">
        <v>204.62701086956523</v>
      </c>
      <c r="AK57" s="119">
        <v>778.71934086956526</v>
      </c>
      <c r="AM57" s="570"/>
    </row>
    <row r="58" spans="1:39" hidden="1">
      <c r="A58" s="567"/>
      <c r="B58" s="567"/>
      <c r="C58" s="567"/>
      <c r="D58" s="567"/>
      <c r="E58" s="567"/>
      <c r="F58" s="567"/>
      <c r="G58" s="567"/>
      <c r="H58" s="567"/>
      <c r="I58" s="567"/>
      <c r="J58" s="567"/>
      <c r="K58" s="287"/>
      <c r="Q58" s="568"/>
      <c r="R58" s="568"/>
      <c r="S58" s="569"/>
      <c r="U58" s="573" t="e">
        <f>U57+U55+#REF!+U46+U29+U20+U19+#REF!+U15</f>
        <v>#REF!</v>
      </c>
      <c r="V58" s="568"/>
      <c r="W58" s="573" t="e">
        <f>W57+W55+#REF!+W46+W29+W20+W19+#REF!+W15</f>
        <v>#REF!</v>
      </c>
      <c r="X58" s="568"/>
      <c r="Y58" s="568"/>
      <c r="Z58" s="568"/>
      <c r="AA58" s="568"/>
      <c r="AB58" s="258" t="e">
        <f t="shared" si="2"/>
        <v>#DIV/0!</v>
      </c>
      <c r="AC58" s="568"/>
      <c r="AD58" s="568"/>
      <c r="AE58" s="568"/>
      <c r="AF58" s="568"/>
      <c r="AG58" s="486" t="e">
        <f t="shared" si="3"/>
        <v>#DIV/0!</v>
      </c>
      <c r="AI58" s="288">
        <f>SUM(AI55:AI57)</f>
        <v>888.25833</v>
      </c>
      <c r="AJ58" s="288">
        <f t="shared" ref="AJ58:AK58" si="16">SUM(AJ55:AJ57)</f>
        <v>294.78401086956524</v>
      </c>
      <c r="AK58" s="288">
        <f t="shared" si="16"/>
        <v>1183.0423408695651</v>
      </c>
      <c r="AL58" s="288"/>
      <c r="AM58" s="570"/>
    </row>
    <row r="59" spans="1:39" hidden="1">
      <c r="A59" s="567"/>
      <c r="B59" s="567"/>
      <c r="C59" s="567"/>
      <c r="D59" s="567"/>
      <c r="E59" s="567"/>
      <c r="F59" s="567"/>
      <c r="G59" s="567"/>
      <c r="H59" s="567"/>
      <c r="I59" s="567"/>
      <c r="J59" s="567"/>
      <c r="K59" s="287"/>
      <c r="Q59" s="568"/>
      <c r="R59" s="568"/>
      <c r="S59" s="569"/>
      <c r="U59" s="568"/>
      <c r="V59" s="568"/>
      <c r="W59" s="568"/>
      <c r="X59" s="568"/>
      <c r="Y59" s="568"/>
      <c r="Z59" s="568"/>
      <c r="AA59" s="568"/>
      <c r="AB59" s="258" t="e">
        <f t="shared" si="2"/>
        <v>#DIV/0!</v>
      </c>
      <c r="AC59" s="568"/>
      <c r="AD59" s="568"/>
      <c r="AE59" s="568"/>
      <c r="AF59" s="568"/>
      <c r="AG59" s="486" t="e">
        <f t="shared" si="3"/>
        <v>#DIV/0!</v>
      </c>
      <c r="AM59" s="570"/>
    </row>
    <row r="60" spans="1:39" hidden="1">
      <c r="A60" s="567"/>
      <c r="B60" s="567"/>
      <c r="C60" s="567"/>
      <c r="D60" s="567"/>
      <c r="E60" s="567"/>
      <c r="F60" s="567"/>
      <c r="G60" s="567"/>
      <c r="H60" s="567"/>
      <c r="I60" s="567"/>
      <c r="J60" s="567"/>
      <c r="K60" s="287"/>
      <c r="Q60" s="568"/>
      <c r="R60" s="568"/>
      <c r="S60" s="569"/>
      <c r="U60" s="568"/>
      <c r="V60" s="568"/>
      <c r="W60" s="568"/>
      <c r="X60" s="568"/>
      <c r="Y60" s="568"/>
      <c r="Z60" s="568"/>
      <c r="AA60" s="568"/>
      <c r="AB60" s="258" t="e">
        <f t="shared" si="2"/>
        <v>#DIV/0!</v>
      </c>
      <c r="AC60" s="568"/>
      <c r="AD60" s="568"/>
      <c r="AE60" s="568"/>
      <c r="AF60" s="568"/>
      <c r="AG60" s="486" t="e">
        <f t="shared" si="3"/>
        <v>#DIV/0!</v>
      </c>
      <c r="AM60" s="570"/>
    </row>
    <row r="61" spans="1:39" hidden="1">
      <c r="A61" s="567"/>
      <c r="B61" s="567"/>
      <c r="C61" s="567"/>
      <c r="D61" s="567"/>
      <c r="E61" s="567"/>
      <c r="F61" s="567"/>
      <c r="G61" s="567"/>
      <c r="H61" s="567"/>
      <c r="I61" s="567"/>
      <c r="J61" s="567"/>
      <c r="K61" s="287"/>
      <c r="Q61" s="568"/>
      <c r="R61" s="568"/>
      <c r="S61" s="569"/>
      <c r="U61" s="568"/>
      <c r="V61" s="568"/>
      <c r="W61" s="568"/>
      <c r="X61" s="568"/>
      <c r="Y61" s="568"/>
      <c r="Z61" s="568"/>
      <c r="AA61" s="568"/>
      <c r="AB61" s="258" t="e">
        <f t="shared" si="2"/>
        <v>#DIV/0!</v>
      </c>
      <c r="AC61" s="568"/>
      <c r="AD61" s="568"/>
      <c r="AE61" s="568"/>
      <c r="AF61" s="568"/>
      <c r="AG61" s="486" t="e">
        <f t="shared" si="3"/>
        <v>#DIV/0!</v>
      </c>
      <c r="AM61" s="570"/>
    </row>
    <row r="62" spans="1:39" hidden="1">
      <c r="A62" s="567"/>
      <c r="B62" s="567"/>
      <c r="C62" s="567"/>
      <c r="D62" s="567"/>
      <c r="E62" s="567"/>
      <c r="F62" s="567"/>
      <c r="G62" s="567"/>
      <c r="H62" s="567"/>
      <c r="I62" s="567"/>
      <c r="J62" s="567"/>
      <c r="K62" s="287"/>
      <c r="Q62" s="568"/>
      <c r="R62" s="568"/>
      <c r="S62" s="569"/>
      <c r="U62" s="568"/>
      <c r="V62" s="568"/>
      <c r="W62" s="568"/>
      <c r="X62" s="568"/>
      <c r="Y62" s="568"/>
      <c r="Z62" s="568"/>
      <c r="AA62" s="568"/>
      <c r="AB62" s="258" t="e">
        <f t="shared" si="2"/>
        <v>#DIV/0!</v>
      </c>
      <c r="AC62" s="568"/>
      <c r="AD62" s="568"/>
      <c r="AE62" s="568"/>
      <c r="AF62" s="568"/>
      <c r="AG62" s="486" t="e">
        <f t="shared" si="3"/>
        <v>#DIV/0!</v>
      </c>
      <c r="AM62" s="570"/>
    </row>
    <row r="63" spans="1:39" hidden="1">
      <c r="A63" s="567"/>
      <c r="B63" s="567"/>
      <c r="C63" s="567"/>
      <c r="D63" s="567"/>
      <c r="E63" s="567"/>
      <c r="F63" s="567"/>
      <c r="G63" s="567"/>
      <c r="H63" s="567"/>
      <c r="I63" s="567"/>
      <c r="J63" s="567"/>
      <c r="K63" s="287"/>
      <c r="Q63" s="568"/>
      <c r="R63" s="568"/>
      <c r="S63" s="569"/>
      <c r="U63" s="568"/>
      <c r="V63" s="568"/>
      <c r="W63" s="568"/>
      <c r="X63" s="568"/>
      <c r="Y63" s="568"/>
      <c r="Z63" s="568"/>
      <c r="AA63" s="568"/>
      <c r="AB63" s="258" t="e">
        <f t="shared" si="2"/>
        <v>#DIV/0!</v>
      </c>
      <c r="AC63" s="568"/>
      <c r="AD63" s="568"/>
      <c r="AE63" s="568"/>
      <c r="AF63" s="568"/>
      <c r="AG63" s="486" t="e">
        <f t="shared" si="3"/>
        <v>#DIV/0!</v>
      </c>
      <c r="AM63" s="570"/>
    </row>
    <row r="64" spans="1:39" hidden="1">
      <c r="A64" s="567"/>
      <c r="B64" s="567"/>
      <c r="C64" s="567"/>
      <c r="D64" s="567"/>
      <c r="E64" s="567"/>
      <c r="F64" s="567"/>
      <c r="G64" s="567"/>
      <c r="H64" s="567"/>
      <c r="I64" s="567"/>
      <c r="J64" s="567"/>
      <c r="K64" s="287"/>
      <c r="Q64" s="568"/>
      <c r="R64" s="568"/>
      <c r="S64" s="569"/>
      <c r="U64" s="568"/>
      <c r="V64" s="568"/>
      <c r="W64" s="568"/>
      <c r="X64" s="568"/>
      <c r="Y64" s="568"/>
      <c r="Z64" s="568"/>
      <c r="AA64" s="568"/>
      <c r="AB64" s="258" t="e">
        <f t="shared" si="2"/>
        <v>#DIV/0!</v>
      </c>
      <c r="AC64" s="568"/>
      <c r="AD64" s="568"/>
      <c r="AE64" s="568"/>
      <c r="AF64" s="568"/>
      <c r="AG64" s="486" t="e">
        <f t="shared" si="3"/>
        <v>#DIV/0!</v>
      </c>
      <c r="AM64" s="570"/>
    </row>
    <row r="65" spans="1:39" hidden="1">
      <c r="A65" s="567"/>
      <c r="B65" s="567"/>
      <c r="C65" s="567"/>
      <c r="D65" s="567"/>
      <c r="E65" s="567"/>
      <c r="F65" s="567"/>
      <c r="G65" s="567"/>
      <c r="H65" s="567"/>
      <c r="I65" s="567"/>
      <c r="J65" s="567"/>
      <c r="K65" s="287"/>
      <c r="Q65" s="568"/>
      <c r="R65" s="568"/>
      <c r="S65" s="569"/>
      <c r="U65" s="568"/>
      <c r="V65" s="568"/>
      <c r="W65" s="568"/>
      <c r="X65" s="568"/>
      <c r="Y65" s="568"/>
      <c r="Z65" s="568"/>
      <c r="AA65" s="568"/>
      <c r="AB65" s="258" t="e">
        <f t="shared" si="2"/>
        <v>#DIV/0!</v>
      </c>
      <c r="AC65" s="568"/>
      <c r="AD65" s="568"/>
      <c r="AE65" s="568"/>
      <c r="AF65" s="568"/>
      <c r="AG65" s="486" t="e">
        <f t="shared" si="3"/>
        <v>#DIV/0!</v>
      </c>
      <c r="AM65" s="570"/>
    </row>
    <row r="66" spans="1:39" hidden="1">
      <c r="A66" s="567"/>
      <c r="B66" s="567"/>
      <c r="C66" s="567"/>
      <c r="D66" s="567"/>
      <c r="E66" s="567"/>
      <c r="F66" s="567"/>
      <c r="G66" s="567"/>
      <c r="H66" s="567"/>
      <c r="I66" s="567"/>
      <c r="J66" s="567"/>
      <c r="K66" s="287"/>
      <c r="Q66" s="568"/>
      <c r="R66" s="568"/>
      <c r="S66" s="569"/>
      <c r="U66" s="568">
        <v>431.4</v>
      </c>
      <c r="V66" s="568">
        <v>0</v>
      </c>
      <c r="W66" s="568">
        <v>306.01</v>
      </c>
      <c r="X66" s="568"/>
      <c r="Y66" s="568"/>
      <c r="Z66" s="568"/>
      <c r="AA66" s="568"/>
      <c r="AB66" s="258" t="e">
        <f t="shared" si="2"/>
        <v>#DIV/0!</v>
      </c>
      <c r="AC66" s="568"/>
      <c r="AD66" s="568"/>
      <c r="AE66" s="568"/>
      <c r="AF66" s="568"/>
      <c r="AG66" s="486" t="e">
        <f t="shared" si="3"/>
        <v>#DIV/0!</v>
      </c>
      <c r="AM66" s="570"/>
    </row>
    <row r="67" spans="1:39" hidden="1">
      <c r="A67" s="567"/>
      <c r="B67" s="567"/>
      <c r="C67" s="567"/>
      <c r="D67" s="567"/>
      <c r="E67" s="567"/>
      <c r="F67" s="567"/>
      <c r="G67" s="567"/>
      <c r="H67" s="567"/>
      <c r="I67" s="567"/>
      <c r="J67" s="567"/>
      <c r="K67" s="287"/>
      <c r="Q67" s="568"/>
      <c r="R67" s="568"/>
      <c r="S67" s="569"/>
      <c r="U67" s="568"/>
      <c r="V67" s="568"/>
      <c r="W67" s="568"/>
      <c r="X67" s="568"/>
      <c r="Y67" s="568"/>
      <c r="Z67" s="568"/>
      <c r="AA67" s="568"/>
      <c r="AB67" s="258" t="e">
        <f t="shared" si="2"/>
        <v>#DIV/0!</v>
      </c>
      <c r="AC67" s="568"/>
      <c r="AD67" s="568"/>
      <c r="AE67" s="568"/>
      <c r="AF67" s="568"/>
      <c r="AG67" s="486" t="e">
        <f t="shared" si="3"/>
        <v>#DIV/0!</v>
      </c>
      <c r="AM67" s="570"/>
    </row>
    <row r="68" spans="1:39" hidden="1">
      <c r="A68" s="567"/>
      <c r="B68" s="567"/>
      <c r="C68" s="567"/>
      <c r="D68" s="567"/>
      <c r="E68" s="567"/>
      <c r="F68" s="567"/>
      <c r="G68" s="567"/>
      <c r="H68" s="567"/>
      <c r="I68" s="567"/>
      <c r="J68" s="567"/>
      <c r="K68" s="287"/>
      <c r="Q68" s="568"/>
      <c r="R68" s="568"/>
      <c r="S68" s="569"/>
      <c r="U68" s="568"/>
      <c r="V68" s="568"/>
      <c r="W68" s="568"/>
      <c r="X68" s="568"/>
      <c r="Y68" s="568"/>
      <c r="Z68" s="568"/>
      <c r="AA68" s="568"/>
      <c r="AB68" s="258" t="e">
        <f t="shared" si="2"/>
        <v>#DIV/0!</v>
      </c>
      <c r="AC68" s="568"/>
      <c r="AD68" s="568"/>
      <c r="AE68" s="568"/>
      <c r="AF68" s="568"/>
      <c r="AG68" s="486" t="e">
        <f t="shared" si="3"/>
        <v>#DIV/0!</v>
      </c>
      <c r="AM68" s="570"/>
    </row>
    <row r="69" spans="1:39" ht="27.75" customHeight="1">
      <c r="A69" s="657" t="s">
        <v>591</v>
      </c>
      <c r="B69" s="658"/>
      <c r="C69" s="658"/>
      <c r="D69" s="658"/>
      <c r="E69" s="658"/>
      <c r="F69" s="658"/>
      <c r="G69" s="658"/>
      <c r="H69" s="658"/>
      <c r="I69" s="658"/>
      <c r="J69" s="658"/>
      <c r="K69" s="658"/>
      <c r="L69" s="659"/>
      <c r="M69" s="574"/>
      <c r="N69" s="574"/>
      <c r="O69" s="574"/>
      <c r="P69" s="574"/>
      <c r="Q69" s="575">
        <f>Q55+'[1]Detailed AWPB Com-2'!Q78+'[1]Detailed AWPB Com-1'!Q89</f>
        <v>68202.101475750009</v>
      </c>
      <c r="R69" s="575"/>
      <c r="S69" s="575">
        <f>+S55+'[1]Detailed AWPB Com-2'!S78+'[1]Detailed AWPB Com-1'!S89</f>
        <v>13731.230000000001</v>
      </c>
      <c r="T69" s="576"/>
      <c r="U69" s="577">
        <f>+U55+'[1]Detailed AWPB Com-2'!U78+'[1]Detailed AWPB Com-1'!U89</f>
        <v>11839.74</v>
      </c>
      <c r="V69" s="575">
        <f>+V55+'[1]Detailed AWPB Com-2'!V78+'[1]Detailed AWPB Com-1'!V89</f>
        <v>136.11000000000001</v>
      </c>
      <c r="W69" s="575">
        <f>+W55+'[1]Detailed AWPB Com-2'!W78+'[1]Detailed AWPB Com-1'!W89</f>
        <v>1755.3799999999999</v>
      </c>
      <c r="X69" s="575">
        <f>X55+'[1]Detailed AWPB Com-2'!X78+'[1]Detailed AWPB Com-1'!X89</f>
        <v>4050.1020000000003</v>
      </c>
      <c r="Y69" s="575">
        <f>Y55+'[1]Detailed AWPB Com-2'!Y78+'[1]Detailed AWPB Com-1'!Y89</f>
        <v>190.5</v>
      </c>
      <c r="Z69" s="575">
        <f>Z55+'[1]Detailed AWPB Com-2'!Z78+'[1]Detailed AWPB Com-1'!Z89</f>
        <v>978.04300000000012</v>
      </c>
      <c r="AA69" s="575">
        <f>AA55+'[1]Detailed AWPB Com-2'!AA78+'[1]Detailed AWPB Com-1'!AA89</f>
        <v>5218.6450000000004</v>
      </c>
      <c r="AB69" s="578">
        <f>AA69*100/Q69</f>
        <v>7.6517363645393628</v>
      </c>
      <c r="AC69" s="575">
        <f>AC55+'[1]Detailed AWPB Com-2'!AC78+'[1]Detailed AWPB Com-1'!AC89</f>
        <v>3326.62</v>
      </c>
      <c r="AD69" s="575">
        <f>AD55+'[1]Detailed AWPB Com-2'!AD78+'[1]Detailed AWPB Com-1'!AD89</f>
        <v>190.5</v>
      </c>
      <c r="AE69" s="575">
        <f>AE55+'[1]Detailed AWPB Com-2'!AE78+'[1]Detailed AWPB Com-1'!AE89</f>
        <v>693.702</v>
      </c>
      <c r="AF69" s="575">
        <f>AF55+'[1]Detailed AWPB Com-2'!AF78+'[1]Detailed AWPB Com-1'!AF89</f>
        <v>4210.8220000000001</v>
      </c>
      <c r="AG69" s="578">
        <f t="shared" si="3"/>
        <v>6.1740355632548996</v>
      </c>
      <c r="AH69" s="577"/>
      <c r="AI69" s="579">
        <f>AI55+'[1]Detailed AWPB Com-2'!AI78+'[1]Detailed AWPB Com-1'!AI89</f>
        <v>702.7</v>
      </c>
      <c r="AJ69" s="579">
        <f>AJ55+'[1]Detailed AWPB Com-2'!AJ78+'[1]Detailed AWPB Com-1'!AJ89</f>
        <v>282.03100000000001</v>
      </c>
      <c r="AK69" s="579">
        <f>AK55+'[1]Detailed AWPB Com-2'!AK78+'[1]Detailed AWPB Com-1'!AK89</f>
        <v>984.73099999999999</v>
      </c>
      <c r="AL69" s="579"/>
      <c r="AM69" s="579"/>
    </row>
    <row r="70" spans="1:39" ht="22.5" customHeight="1">
      <c r="Q70" s="288"/>
      <c r="S70" s="581"/>
      <c r="X70" s="290"/>
      <c r="Y70" s="290"/>
      <c r="Z70" s="290"/>
      <c r="AA70" s="290"/>
      <c r="AB70" s="290"/>
      <c r="AF70" s="288"/>
    </row>
    <row r="71" spans="1:39">
      <c r="Q71" s="290"/>
      <c r="S71" s="581"/>
      <c r="U71" s="582"/>
      <c r="Y71" s="290"/>
      <c r="AA71" s="290"/>
      <c r="AC71" s="290"/>
      <c r="AE71" s="290"/>
      <c r="AF71" s="290"/>
    </row>
    <row r="72" spans="1:39">
      <c r="O72" s="660"/>
      <c r="P72" s="660"/>
      <c r="S72" s="581"/>
      <c r="Y72" s="290"/>
      <c r="AF72" s="288"/>
    </row>
    <row r="73" spans="1:39">
      <c r="O73" s="660"/>
      <c r="P73" s="660"/>
      <c r="Q73" s="288"/>
      <c r="AA73" s="290"/>
    </row>
    <row r="74" spans="1:39">
      <c r="O74" s="660"/>
      <c r="P74" s="660"/>
    </row>
    <row r="75" spans="1:39">
      <c r="R75" s="288"/>
    </row>
    <row r="79" spans="1:39">
      <c r="Q79" s="288"/>
    </row>
  </sheetData>
  <mergeCells count="41">
    <mergeCell ref="O72:P72"/>
    <mergeCell ref="O73:P73"/>
    <mergeCell ref="O74:P74"/>
    <mergeCell ref="X7:AB7"/>
    <mergeCell ref="AC7:AG7"/>
    <mergeCell ref="A55:L55"/>
    <mergeCell ref="A69:L69"/>
    <mergeCell ref="AM6:AM7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G6:G8"/>
    <mergeCell ref="H6:H8"/>
    <mergeCell ref="A6:A8"/>
    <mergeCell ref="C6:C8"/>
    <mergeCell ref="AF5:AH5"/>
    <mergeCell ref="AI9:AL9"/>
    <mergeCell ref="AI5:AK5"/>
    <mergeCell ref="F6:F8"/>
    <mergeCell ref="X6:AG6"/>
    <mergeCell ref="AH6:AH7"/>
    <mergeCell ref="R7:R8"/>
    <mergeCell ref="S7:S8"/>
    <mergeCell ref="T7:T8"/>
    <mergeCell ref="U7:W7"/>
    <mergeCell ref="AI7:AL7"/>
    <mergeCell ref="B2:K2"/>
    <mergeCell ref="B3:K3"/>
    <mergeCell ref="L3:U3"/>
    <mergeCell ref="V3:W3"/>
    <mergeCell ref="I6:P6"/>
    <mergeCell ref="Q6:W6"/>
    <mergeCell ref="B6:B8"/>
    <mergeCell ref="D6:D8"/>
    <mergeCell ref="E6:E8"/>
  </mergeCells>
  <pageMargins left="0.25" right="0.25" top="0.75" bottom="0.75" header="0.3" footer="0.3"/>
  <pageSetup paperSize="5" scale="42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B1A6-9BA9-4F95-89A5-822066D57FB2}">
  <dimension ref="A2:N174"/>
  <sheetViews>
    <sheetView view="pageBreakPreview" zoomScaleNormal="100" zoomScaleSheetLayoutView="100" workbookViewId="0">
      <selection activeCell="G66" sqref="G66"/>
    </sheetView>
  </sheetViews>
  <sheetFormatPr defaultRowHeight="12.75"/>
  <cols>
    <col min="1" max="1" width="11.28515625" customWidth="1"/>
    <col min="2" max="2" width="20" customWidth="1"/>
    <col min="3" max="3" width="14.28515625" customWidth="1"/>
    <col min="4" max="4" width="17.42578125" customWidth="1"/>
    <col min="5" max="5" width="13.85546875" customWidth="1"/>
    <col min="6" max="6" width="9.42578125" customWidth="1"/>
    <col min="7" max="7" width="9.140625" customWidth="1"/>
    <col min="8" max="8" width="10.5703125" customWidth="1"/>
    <col min="10" max="10" width="8" customWidth="1"/>
    <col min="11" max="11" width="7.7109375" customWidth="1"/>
    <col min="14" max="14" width="7.28515625" bestFit="1" customWidth="1"/>
  </cols>
  <sheetData>
    <row r="2" spans="1:14">
      <c r="A2" s="31" t="s">
        <v>47</v>
      </c>
    </row>
    <row r="4" spans="1:14">
      <c r="A4" s="31" t="s">
        <v>49</v>
      </c>
    </row>
    <row r="5" spans="1:14" ht="6" customHeight="1"/>
    <row r="6" spans="1:14" ht="25.5">
      <c r="A6" s="32" t="s">
        <v>5</v>
      </c>
      <c r="B6" s="32" t="s">
        <v>6</v>
      </c>
      <c r="C6" s="32" t="s">
        <v>7</v>
      </c>
      <c r="D6" s="32" t="s">
        <v>35</v>
      </c>
    </row>
    <row r="7" spans="1:14">
      <c r="A7" s="1" t="s">
        <v>3</v>
      </c>
      <c r="B7" s="4">
        <v>63250</v>
      </c>
      <c r="C7" s="4">
        <v>8119.12</v>
      </c>
      <c r="D7" s="5">
        <f>C7/B7</f>
        <v>0.12836553359683794</v>
      </c>
    </row>
    <row r="8" spans="1:14">
      <c r="A8" s="7" t="s">
        <v>4</v>
      </c>
      <c r="B8" s="4">
        <v>1250</v>
      </c>
      <c r="C8" s="4">
        <v>250</v>
      </c>
      <c r="D8" s="5">
        <f t="shared" ref="D8:D10" si="0">C8/B8</f>
        <v>0.2</v>
      </c>
    </row>
    <row r="9" spans="1:14">
      <c r="A9" s="7" t="s">
        <v>15</v>
      </c>
      <c r="B9" s="4">
        <v>27900</v>
      </c>
      <c r="C9" s="4">
        <v>1157.43</v>
      </c>
      <c r="D9" s="5">
        <f t="shared" si="0"/>
        <v>4.1484946236559142E-2</v>
      </c>
      <c r="M9" s="3"/>
    </row>
    <row r="10" spans="1:14">
      <c r="A10" s="17" t="s">
        <v>2</v>
      </c>
      <c r="B10" s="18">
        <f>SUM(B7:B9)</f>
        <v>92400</v>
      </c>
      <c r="C10" s="18">
        <f>SUM(C7:C9)</f>
        <v>9526.5499999999993</v>
      </c>
      <c r="D10" s="19">
        <f t="shared" si="0"/>
        <v>0.10310119047619047</v>
      </c>
    </row>
    <row r="12" spans="1:14">
      <c r="A12" s="31" t="s">
        <v>48</v>
      </c>
    </row>
    <row r="14" spans="1:14">
      <c r="A14" s="668" t="s">
        <v>8</v>
      </c>
      <c r="B14" s="669"/>
      <c r="C14" s="661" t="s">
        <v>3</v>
      </c>
      <c r="D14" s="661"/>
      <c r="E14" s="661"/>
      <c r="F14" s="661" t="s">
        <v>4</v>
      </c>
      <c r="G14" s="661"/>
      <c r="H14" s="661"/>
      <c r="I14" s="661" t="s">
        <v>1</v>
      </c>
      <c r="J14" s="661"/>
      <c r="K14" s="661"/>
      <c r="L14" s="661" t="s">
        <v>2</v>
      </c>
      <c r="M14" s="661"/>
      <c r="N14" s="661"/>
    </row>
    <row r="15" spans="1:14">
      <c r="A15" s="670"/>
      <c r="B15" s="671"/>
      <c r="C15" s="16" t="s">
        <v>6</v>
      </c>
      <c r="D15" s="16" t="s">
        <v>13</v>
      </c>
      <c r="E15" s="16" t="s">
        <v>0</v>
      </c>
      <c r="F15" s="16" t="s">
        <v>6</v>
      </c>
      <c r="G15" s="16" t="s">
        <v>13</v>
      </c>
      <c r="H15" s="16" t="s">
        <v>0</v>
      </c>
      <c r="I15" s="16" t="s">
        <v>6</v>
      </c>
      <c r="J15" s="16" t="s">
        <v>13</v>
      </c>
      <c r="K15" s="16" t="s">
        <v>0</v>
      </c>
      <c r="L15" s="16" t="s">
        <v>6</v>
      </c>
      <c r="M15" s="16" t="s">
        <v>13</v>
      </c>
      <c r="N15" s="16" t="s">
        <v>0</v>
      </c>
    </row>
    <row r="16" spans="1:14" ht="38.25">
      <c r="A16" s="8">
        <v>1</v>
      </c>
      <c r="B16" s="9" t="s">
        <v>9</v>
      </c>
      <c r="C16" s="10">
        <v>52240</v>
      </c>
      <c r="D16" s="10">
        <v>4197.8</v>
      </c>
      <c r="E16" s="11">
        <f>D16/C16</f>
        <v>8.0356049004594185E-2</v>
      </c>
      <c r="F16" s="14">
        <v>254</v>
      </c>
      <c r="G16" s="14">
        <v>118.93</v>
      </c>
      <c r="H16" s="15">
        <f>G16/F16</f>
        <v>0.46822834645669292</v>
      </c>
      <c r="I16" s="14">
        <v>22376</v>
      </c>
      <c r="J16" s="14">
        <v>855.25</v>
      </c>
      <c r="K16" s="15">
        <f>J16/I16</f>
        <v>3.8221755452270287E-2</v>
      </c>
      <c r="L16" s="14">
        <v>74870</v>
      </c>
      <c r="M16" s="14">
        <v>5171.99</v>
      </c>
      <c r="N16" s="15">
        <f>M16/L16</f>
        <v>6.9079604648056625E-2</v>
      </c>
    </row>
    <row r="17" spans="1:14" ht="51">
      <c r="A17" s="8">
        <v>2</v>
      </c>
      <c r="B17" s="9" t="s">
        <v>10</v>
      </c>
      <c r="C17" s="10">
        <v>7975</v>
      </c>
      <c r="D17" s="10">
        <v>0</v>
      </c>
      <c r="E17" s="11">
        <f t="shared" ref="E17:E20" si="1">D17/C17</f>
        <v>0</v>
      </c>
      <c r="F17" s="14">
        <v>996</v>
      </c>
      <c r="G17" s="14">
        <v>106.51</v>
      </c>
      <c r="H17" s="15">
        <f t="shared" ref="H17" si="2">G17/F17</f>
        <v>0.10693775100401606</v>
      </c>
      <c r="I17" s="14">
        <v>3454</v>
      </c>
      <c r="J17" s="14"/>
      <c r="K17" s="15">
        <f t="shared" ref="K17:K18" si="3">J17/I17</f>
        <v>0</v>
      </c>
      <c r="L17" s="14">
        <v>12425</v>
      </c>
      <c r="M17" s="14">
        <v>106.51</v>
      </c>
      <c r="N17" s="15">
        <f t="shared" ref="N17:N18" si="4">M17/L17</f>
        <v>8.5722334004024146E-3</v>
      </c>
    </row>
    <row r="18" spans="1:14">
      <c r="A18" s="8">
        <v>3</v>
      </c>
      <c r="B18" s="9" t="s">
        <v>11</v>
      </c>
      <c r="C18" s="10">
        <v>3035</v>
      </c>
      <c r="D18" s="10">
        <v>495.64</v>
      </c>
      <c r="E18" s="11">
        <f t="shared" si="1"/>
        <v>0.16330807248764415</v>
      </c>
      <c r="F18" s="14"/>
      <c r="G18" s="14" t="s">
        <v>14</v>
      </c>
      <c r="H18" s="15" t="s">
        <v>14</v>
      </c>
      <c r="I18" s="14">
        <v>2070</v>
      </c>
      <c r="J18" s="14">
        <v>302.18</v>
      </c>
      <c r="K18" s="15">
        <f t="shared" si="3"/>
        <v>0.14598067632850242</v>
      </c>
      <c r="L18" s="14">
        <v>5105</v>
      </c>
      <c r="M18" s="14">
        <v>797.82</v>
      </c>
      <c r="N18" s="15">
        <f t="shared" si="4"/>
        <v>0.1562820763956905</v>
      </c>
    </row>
    <row r="19" spans="1:14">
      <c r="A19" s="8">
        <v>4</v>
      </c>
      <c r="B19" s="9" t="s">
        <v>12</v>
      </c>
      <c r="C19" s="10"/>
      <c r="D19" s="10">
        <v>4000</v>
      </c>
      <c r="E19" s="11"/>
      <c r="F19" s="14"/>
      <c r="G19" s="14">
        <v>250</v>
      </c>
      <c r="H19" s="15"/>
      <c r="I19" s="14"/>
      <c r="J19" s="14"/>
      <c r="K19" s="15"/>
      <c r="L19" s="14"/>
      <c r="M19" s="14">
        <v>4250</v>
      </c>
      <c r="N19" s="15"/>
    </row>
    <row r="20" spans="1:14">
      <c r="A20" s="678" t="s">
        <v>2</v>
      </c>
      <c r="B20" s="679"/>
      <c r="C20" s="20">
        <f>SUM(C16:C19)</f>
        <v>63250</v>
      </c>
      <c r="D20" s="20">
        <f>SUM(D16:D19)</f>
        <v>8693.44</v>
      </c>
      <c r="E20" s="21">
        <f t="shared" si="1"/>
        <v>0.13744569169960474</v>
      </c>
      <c r="F20" s="20">
        <f>SUM(F16:F19)</f>
        <v>1250</v>
      </c>
      <c r="G20" s="20">
        <f>SUM(G16:G19)</f>
        <v>475.44</v>
      </c>
      <c r="H20" s="21">
        <f t="shared" ref="H20" si="5">G20/F20</f>
        <v>0.38035200000000002</v>
      </c>
      <c r="I20" s="20">
        <f>SUM(I16:I19)</f>
        <v>27900</v>
      </c>
      <c r="J20" s="20">
        <f>SUM(J16:J19)</f>
        <v>1157.43</v>
      </c>
      <c r="K20" s="21">
        <f t="shared" ref="K20" si="6">J20/I20</f>
        <v>4.1484946236559142E-2</v>
      </c>
      <c r="L20" s="20">
        <f>SUM(L16:L19)</f>
        <v>92400</v>
      </c>
      <c r="M20" s="20">
        <f>SUM(M16:M19)</f>
        <v>10326.32</v>
      </c>
      <c r="N20" s="21">
        <f t="shared" ref="N20" si="7">M20/L20</f>
        <v>0.11175670995670996</v>
      </c>
    </row>
    <row r="23" spans="1:14" hidden="1"/>
    <row r="24" spans="1:14">
      <c r="A24" s="31" t="s">
        <v>50</v>
      </c>
    </row>
    <row r="26" spans="1:14">
      <c r="A26" s="661" t="s">
        <v>8</v>
      </c>
      <c r="B26" s="661"/>
      <c r="C26" s="661" t="s">
        <v>37</v>
      </c>
      <c r="D26" s="661"/>
      <c r="E26" s="663" t="s">
        <v>45</v>
      </c>
      <c r="F26" s="664"/>
      <c r="G26" s="665"/>
      <c r="H26" s="663" t="s">
        <v>46</v>
      </c>
      <c r="I26" s="664"/>
      <c r="J26" s="665"/>
    </row>
    <row r="27" spans="1:14">
      <c r="A27" s="661"/>
      <c r="B27" s="661"/>
      <c r="C27" s="16" t="s">
        <v>6</v>
      </c>
      <c r="D27" s="16" t="s">
        <v>38</v>
      </c>
      <c r="E27" s="16" t="s">
        <v>6</v>
      </c>
      <c r="F27" s="16" t="s">
        <v>13</v>
      </c>
      <c r="G27" s="16" t="s">
        <v>0</v>
      </c>
      <c r="H27" s="16" t="s">
        <v>6</v>
      </c>
      <c r="I27" s="16" t="s">
        <v>13</v>
      </c>
      <c r="J27" s="16" t="s">
        <v>0</v>
      </c>
    </row>
    <row r="28" spans="1:14" ht="38.25">
      <c r="A28" s="8">
        <v>1</v>
      </c>
      <c r="B28" s="9" t="s">
        <v>9</v>
      </c>
      <c r="C28" s="14">
        <v>52240</v>
      </c>
      <c r="D28" s="15">
        <v>0.82589999999999997</v>
      </c>
      <c r="E28" s="14">
        <v>12386.2</v>
      </c>
      <c r="F28" s="14">
        <v>3815.25</v>
      </c>
      <c r="G28" s="15">
        <v>0.308</v>
      </c>
      <c r="H28" s="14">
        <v>12484.8</v>
      </c>
      <c r="I28" s="14">
        <v>4566.63</v>
      </c>
      <c r="J28" s="15">
        <v>0.36499999999999999</v>
      </c>
    </row>
    <row r="29" spans="1:14" ht="51">
      <c r="A29" s="8">
        <v>2</v>
      </c>
      <c r="B29" s="9" t="s">
        <v>10</v>
      </c>
      <c r="C29" s="14">
        <v>7975</v>
      </c>
      <c r="D29" s="15">
        <v>0.12609999999999999</v>
      </c>
      <c r="E29" s="14">
        <v>1048.9000000000001</v>
      </c>
      <c r="F29" s="14">
        <v>90</v>
      </c>
      <c r="G29" s="15">
        <v>8.5000000000000006E-2</v>
      </c>
      <c r="H29" s="14">
        <v>1049.75</v>
      </c>
      <c r="I29" s="14">
        <v>90</v>
      </c>
      <c r="J29" s="15">
        <v>8.6199999999999999E-2</v>
      </c>
    </row>
    <row r="30" spans="1:14">
      <c r="A30" s="8">
        <v>3</v>
      </c>
      <c r="B30" s="9" t="s">
        <v>11</v>
      </c>
      <c r="C30" s="14">
        <v>3035</v>
      </c>
      <c r="D30" s="15">
        <v>4.8000000000000001E-2</v>
      </c>
      <c r="E30" s="14">
        <v>1048.9000000000001</v>
      </c>
      <c r="F30" s="14">
        <v>287.38</v>
      </c>
      <c r="G30" s="15">
        <v>0.27300000000000002</v>
      </c>
      <c r="H30" s="63">
        <v>1097.3499999999999</v>
      </c>
      <c r="I30" s="63">
        <v>541.70000000000005</v>
      </c>
      <c r="J30" s="61">
        <v>0.49359999999999998</v>
      </c>
    </row>
    <row r="31" spans="1:14">
      <c r="A31" s="662" t="s">
        <v>2</v>
      </c>
      <c r="B31" s="662"/>
      <c r="C31" s="20">
        <f>SUM(C28:C30)</f>
        <v>63250</v>
      </c>
      <c r="D31" s="21">
        <v>1</v>
      </c>
      <c r="E31" s="20">
        <f>SUM(E28:E30)</f>
        <v>14484</v>
      </c>
      <c r="F31" s="20">
        <f>SUM(F28:F30)</f>
        <v>4192.63</v>
      </c>
      <c r="G31" s="21">
        <v>0.28899999999999998</v>
      </c>
      <c r="H31" s="20">
        <f>SUM(H28:H30)</f>
        <v>14631.9</v>
      </c>
      <c r="I31" s="20">
        <f>SUM(I28:I30)</f>
        <v>5198.33</v>
      </c>
      <c r="J31" s="21">
        <v>0.35499999999999998</v>
      </c>
    </row>
    <row r="33" spans="1:9">
      <c r="H33" s="62"/>
    </row>
    <row r="37" spans="1:9">
      <c r="A37" s="31" t="s">
        <v>51</v>
      </c>
    </row>
    <row r="39" spans="1:9" ht="25.5">
      <c r="A39" s="30" t="s">
        <v>16</v>
      </c>
      <c r="B39" s="30" t="s">
        <v>27</v>
      </c>
      <c r="C39" s="30" t="s">
        <v>17</v>
      </c>
      <c r="D39" s="30" t="s">
        <v>18</v>
      </c>
      <c r="E39" s="30" t="s">
        <v>19</v>
      </c>
      <c r="F39" s="30" t="s">
        <v>21</v>
      </c>
      <c r="G39" s="30" t="s">
        <v>20</v>
      </c>
      <c r="H39" s="30" t="s">
        <v>36</v>
      </c>
      <c r="I39" s="22"/>
    </row>
    <row r="40" spans="1:9">
      <c r="A40" s="23" t="s">
        <v>22</v>
      </c>
      <c r="B40" s="24" t="s">
        <v>28</v>
      </c>
      <c r="C40" s="26">
        <v>39990</v>
      </c>
      <c r="D40" s="26">
        <v>0</v>
      </c>
      <c r="E40" s="26">
        <v>3339.85</v>
      </c>
      <c r="F40" s="26">
        <v>363.85</v>
      </c>
      <c r="G40" s="26">
        <v>36650.15</v>
      </c>
      <c r="H40" s="27">
        <f>E40/C40</f>
        <v>8.3517129282320579E-2</v>
      </c>
      <c r="I40" s="22"/>
    </row>
    <row r="41" spans="1:9" ht="25.5">
      <c r="A41" s="23" t="s">
        <v>23</v>
      </c>
      <c r="B41" s="24" t="s">
        <v>29</v>
      </c>
      <c r="C41" s="26">
        <v>860</v>
      </c>
      <c r="D41" s="26">
        <v>0</v>
      </c>
      <c r="E41" s="26">
        <v>297.95</v>
      </c>
      <c r="F41" s="26">
        <v>38.69</v>
      </c>
      <c r="G41" s="26">
        <v>262.05</v>
      </c>
      <c r="H41" s="27">
        <f t="shared" ref="H41:H47" si="8">E41/C41</f>
        <v>0.346453488372093</v>
      </c>
      <c r="I41" s="22"/>
    </row>
    <row r="42" spans="1:9" ht="25.5">
      <c r="A42" s="23" t="s">
        <v>24</v>
      </c>
      <c r="B42" s="24" t="s">
        <v>30</v>
      </c>
      <c r="C42" s="26">
        <v>7410</v>
      </c>
      <c r="D42" s="26">
        <v>0</v>
      </c>
      <c r="E42" s="26">
        <v>67.72</v>
      </c>
      <c r="F42" s="26">
        <v>0</v>
      </c>
      <c r="G42" s="26">
        <v>7342.28</v>
      </c>
      <c r="H42" s="27">
        <f t="shared" si="8"/>
        <v>9.1390013495276645E-3</v>
      </c>
      <c r="I42" s="22"/>
    </row>
    <row r="43" spans="1:9">
      <c r="A43" s="23" t="s">
        <v>25</v>
      </c>
      <c r="B43" s="24" t="s">
        <v>31</v>
      </c>
      <c r="C43" s="26">
        <v>4650</v>
      </c>
      <c r="D43" s="26">
        <v>0</v>
      </c>
      <c r="E43" s="26">
        <v>304.08</v>
      </c>
      <c r="F43" s="26">
        <v>147.91</v>
      </c>
      <c r="G43" s="26">
        <v>4345.92</v>
      </c>
      <c r="H43" s="27">
        <f t="shared" si="8"/>
        <v>6.5393548387096767E-2</v>
      </c>
      <c r="I43" s="22"/>
    </row>
    <row r="44" spans="1:9">
      <c r="A44" s="23" t="s">
        <v>26</v>
      </c>
      <c r="B44" s="24" t="s">
        <v>32</v>
      </c>
      <c r="C44" s="26">
        <v>4020</v>
      </c>
      <c r="D44" s="26">
        <v>0</v>
      </c>
      <c r="E44" s="26">
        <v>109.53</v>
      </c>
      <c r="F44" s="26">
        <v>28.95</v>
      </c>
      <c r="G44" s="26">
        <v>3910.47</v>
      </c>
      <c r="H44" s="27">
        <f t="shared" si="8"/>
        <v>2.7246268656716418E-2</v>
      </c>
      <c r="I44" s="22"/>
    </row>
    <row r="45" spans="1:9">
      <c r="A45" s="6"/>
      <c r="B45" s="25" t="s">
        <v>33</v>
      </c>
      <c r="C45" s="26">
        <v>6320</v>
      </c>
      <c r="D45" s="26">
        <v>0</v>
      </c>
      <c r="E45" s="28">
        <v>0</v>
      </c>
      <c r="F45" s="28">
        <v>0</v>
      </c>
      <c r="G45" s="28">
        <v>6320</v>
      </c>
      <c r="H45" s="27">
        <f t="shared" si="8"/>
        <v>0</v>
      </c>
    </row>
    <row r="46" spans="1:9" ht="25.5">
      <c r="A46" s="6"/>
      <c r="B46" s="25" t="s">
        <v>34</v>
      </c>
      <c r="C46" s="28">
        <v>0</v>
      </c>
      <c r="D46" s="26">
        <v>0</v>
      </c>
      <c r="E46" s="28">
        <v>4000</v>
      </c>
      <c r="F46" s="28">
        <v>0</v>
      </c>
      <c r="G46" s="47">
        <v>-4000</v>
      </c>
      <c r="H46" s="27">
        <v>0</v>
      </c>
    </row>
    <row r="47" spans="1:9">
      <c r="A47" s="666" t="s">
        <v>2</v>
      </c>
      <c r="B47" s="667"/>
      <c r="C47" s="29">
        <f>SUM(C40:C46)</f>
        <v>63250</v>
      </c>
      <c r="D47" s="29">
        <f t="shared" ref="D47:G47" si="9">SUM(D40:D46)</f>
        <v>0</v>
      </c>
      <c r="E47" s="29">
        <f t="shared" si="9"/>
        <v>8119.1299999999992</v>
      </c>
      <c r="F47" s="29">
        <f t="shared" si="9"/>
        <v>579.40000000000009</v>
      </c>
      <c r="G47" s="29">
        <f t="shared" si="9"/>
        <v>54830.87</v>
      </c>
      <c r="H47" s="27">
        <f t="shared" si="8"/>
        <v>0.12836569169960474</v>
      </c>
    </row>
    <row r="53" spans="1:8">
      <c r="A53" s="31" t="s">
        <v>52</v>
      </c>
    </row>
    <row r="55" spans="1:8" ht="25.5">
      <c r="A55" s="30" t="s">
        <v>16</v>
      </c>
      <c r="B55" s="30" t="s">
        <v>27</v>
      </c>
      <c r="C55" s="30" t="s">
        <v>17</v>
      </c>
      <c r="D55" s="30" t="s">
        <v>18</v>
      </c>
      <c r="E55" s="30" t="s">
        <v>19</v>
      </c>
      <c r="F55" s="30" t="s">
        <v>21</v>
      </c>
      <c r="G55" s="30" t="s">
        <v>20</v>
      </c>
      <c r="H55" s="30" t="s">
        <v>36</v>
      </c>
    </row>
    <row r="56" spans="1:8">
      <c r="A56" s="23" t="s">
        <v>22</v>
      </c>
      <c r="B56" s="24" t="s">
        <v>28</v>
      </c>
      <c r="C56" s="26">
        <v>0</v>
      </c>
      <c r="D56" s="26">
        <v>0</v>
      </c>
      <c r="E56" s="672"/>
      <c r="F56" s="672">
        <v>500</v>
      </c>
      <c r="G56" s="672">
        <v>1000</v>
      </c>
      <c r="H56" s="675">
        <v>0.2</v>
      </c>
    </row>
    <row r="57" spans="1:8" ht="25.5">
      <c r="A57" s="23" t="s">
        <v>23</v>
      </c>
      <c r="B57" s="24" t="s">
        <v>29</v>
      </c>
      <c r="C57" s="26">
        <v>10</v>
      </c>
      <c r="D57" s="26">
        <v>0</v>
      </c>
      <c r="E57" s="673"/>
      <c r="F57" s="673"/>
      <c r="G57" s="673"/>
      <c r="H57" s="676"/>
    </row>
    <row r="58" spans="1:8" ht="25.5">
      <c r="A58" s="23" t="s">
        <v>24</v>
      </c>
      <c r="B58" s="24" t="s">
        <v>30</v>
      </c>
      <c r="C58" s="26">
        <v>320</v>
      </c>
      <c r="D58" s="26">
        <v>0</v>
      </c>
      <c r="E58" s="673"/>
      <c r="F58" s="673"/>
      <c r="G58" s="673"/>
      <c r="H58" s="676"/>
    </row>
    <row r="59" spans="1:8">
      <c r="A59" s="23" t="s">
        <v>25</v>
      </c>
      <c r="B59" s="24" t="s">
        <v>31</v>
      </c>
      <c r="C59" s="26">
        <v>610</v>
      </c>
      <c r="D59" s="26">
        <v>0</v>
      </c>
      <c r="E59" s="673"/>
      <c r="F59" s="673"/>
      <c r="G59" s="673"/>
      <c r="H59" s="676"/>
    </row>
    <row r="60" spans="1:8">
      <c r="A60" s="23" t="s">
        <v>26</v>
      </c>
      <c r="B60" s="24" t="s">
        <v>32</v>
      </c>
      <c r="C60" s="26">
        <v>180</v>
      </c>
      <c r="D60" s="26">
        <v>0</v>
      </c>
      <c r="E60" s="674"/>
      <c r="F60" s="674"/>
      <c r="G60" s="674"/>
      <c r="H60" s="677"/>
    </row>
    <row r="61" spans="1:8">
      <c r="A61" s="6"/>
      <c r="B61" s="25" t="s">
        <v>33</v>
      </c>
      <c r="C61" s="26">
        <v>130</v>
      </c>
      <c r="D61" s="26">
        <v>0</v>
      </c>
      <c r="E61" s="28">
        <v>0</v>
      </c>
      <c r="F61" s="28">
        <v>0</v>
      </c>
      <c r="G61" s="28">
        <v>0</v>
      </c>
      <c r="H61" s="27">
        <f t="shared" ref="H61" si="10">E61/C61</f>
        <v>0</v>
      </c>
    </row>
    <row r="62" spans="1:8" ht="25.5">
      <c r="A62" s="6"/>
      <c r="B62" s="25" t="s">
        <v>34</v>
      </c>
      <c r="C62" s="28">
        <v>0</v>
      </c>
      <c r="D62" s="26">
        <v>0</v>
      </c>
      <c r="E62" s="28">
        <v>250</v>
      </c>
      <c r="F62" s="28">
        <v>0</v>
      </c>
      <c r="G62" s="64">
        <v>0</v>
      </c>
      <c r="H62" s="27">
        <v>0</v>
      </c>
    </row>
    <row r="63" spans="1:8">
      <c r="A63" s="666" t="s">
        <v>2</v>
      </c>
      <c r="B63" s="667"/>
      <c r="C63" s="29">
        <f>SUM(C56:C62)</f>
        <v>1250</v>
      </c>
      <c r="D63" s="29">
        <f t="shared" ref="D63" si="11">SUM(D56:D62)</f>
        <v>0</v>
      </c>
      <c r="E63" s="29">
        <f>E62+E61+E56</f>
        <v>250</v>
      </c>
      <c r="F63" s="29">
        <f t="shared" ref="F63" si="12">SUM(F56:F62)</f>
        <v>500</v>
      </c>
      <c r="G63" s="29">
        <f>SUM(G56:G62)</f>
        <v>1000</v>
      </c>
      <c r="H63" s="27">
        <f t="shared" ref="H63" si="13">E63/C63</f>
        <v>0.2</v>
      </c>
    </row>
    <row r="64" spans="1:8">
      <c r="E64" s="3"/>
    </row>
    <row r="65" spans="3:3">
      <c r="C65" s="3"/>
    </row>
    <row r="94" spans="1:1">
      <c r="A94" s="31" t="s">
        <v>39</v>
      </c>
    </row>
    <row r="96" spans="1:1">
      <c r="A96" s="31" t="s">
        <v>40</v>
      </c>
    </row>
    <row r="98" spans="1:14" ht="25.5">
      <c r="A98" s="32" t="s">
        <v>5</v>
      </c>
      <c r="B98" s="32" t="s">
        <v>6</v>
      </c>
      <c r="C98" s="32" t="s">
        <v>7</v>
      </c>
      <c r="D98" s="32" t="s">
        <v>35</v>
      </c>
    </row>
    <row r="99" spans="1:14">
      <c r="A99" s="1" t="s">
        <v>3</v>
      </c>
      <c r="B99" s="33">
        <v>63250</v>
      </c>
      <c r="C99" s="33">
        <v>8119.12</v>
      </c>
      <c r="D99" s="34">
        <f>C99/B99</f>
        <v>0.12836553359683794</v>
      </c>
    </row>
    <row r="100" spans="1:14">
      <c r="A100" s="7" t="s">
        <v>4</v>
      </c>
      <c r="B100" s="33">
        <v>1250</v>
      </c>
      <c r="C100" s="33">
        <v>250</v>
      </c>
      <c r="D100" s="34">
        <f t="shared" ref="D100:D102" si="14">C100/B100</f>
        <v>0.2</v>
      </c>
    </row>
    <row r="101" spans="1:14">
      <c r="A101" s="7" t="s">
        <v>15</v>
      </c>
      <c r="B101" s="33">
        <v>27900</v>
      </c>
      <c r="C101" s="33">
        <v>1157.43</v>
      </c>
      <c r="D101" s="34">
        <f t="shared" si="14"/>
        <v>4.1484946236559142E-2</v>
      </c>
    </row>
    <row r="102" spans="1:14">
      <c r="A102" s="17" t="s">
        <v>2</v>
      </c>
      <c r="B102" s="35">
        <f>SUM(B99:B101)</f>
        <v>92400</v>
      </c>
      <c r="C102" s="35">
        <f>SUM(C99:C101)</f>
        <v>9526.5499999999993</v>
      </c>
      <c r="D102" s="36">
        <f t="shared" si="14"/>
        <v>0.10310119047619047</v>
      </c>
    </row>
    <row r="104" spans="1:14">
      <c r="A104" s="31" t="s">
        <v>41</v>
      </c>
    </row>
    <row r="106" spans="1:14">
      <c r="A106" s="668" t="s">
        <v>8</v>
      </c>
      <c r="B106" s="669"/>
      <c r="C106" s="661" t="s">
        <v>3</v>
      </c>
      <c r="D106" s="661"/>
      <c r="E106" s="661"/>
      <c r="F106" s="661" t="s">
        <v>4</v>
      </c>
      <c r="G106" s="661"/>
      <c r="H106" s="661"/>
      <c r="I106" s="661" t="s">
        <v>1</v>
      </c>
      <c r="J106" s="661"/>
      <c r="K106" s="661"/>
      <c r="L106" s="661" t="s">
        <v>2</v>
      </c>
      <c r="M106" s="661"/>
      <c r="N106" s="661"/>
    </row>
    <row r="107" spans="1:14">
      <c r="A107" s="670"/>
      <c r="B107" s="671"/>
      <c r="C107" s="16" t="s">
        <v>6</v>
      </c>
      <c r="D107" s="16" t="s">
        <v>13</v>
      </c>
      <c r="E107" s="16" t="s">
        <v>0</v>
      </c>
      <c r="F107" s="16" t="s">
        <v>6</v>
      </c>
      <c r="G107" s="16" t="s">
        <v>13</v>
      </c>
      <c r="H107" s="16" t="s">
        <v>0</v>
      </c>
      <c r="I107" s="16" t="s">
        <v>6</v>
      </c>
      <c r="J107" s="16" t="s">
        <v>13</v>
      </c>
      <c r="K107" s="16" t="s">
        <v>0</v>
      </c>
      <c r="L107" s="16" t="s">
        <v>6</v>
      </c>
      <c r="M107" s="16" t="s">
        <v>13</v>
      </c>
      <c r="N107" s="16" t="s">
        <v>0</v>
      </c>
    </row>
    <row r="108" spans="1:14" ht="38.25">
      <c r="A108" s="8">
        <v>1</v>
      </c>
      <c r="B108" s="9" t="s">
        <v>9</v>
      </c>
      <c r="C108" s="12">
        <v>52240</v>
      </c>
      <c r="D108" s="12">
        <v>4197.8</v>
      </c>
      <c r="E108" s="13">
        <f>D108/C108</f>
        <v>8.0356049004594185E-2</v>
      </c>
      <c r="F108" s="12">
        <v>254</v>
      </c>
      <c r="G108" s="12">
        <v>118.93</v>
      </c>
      <c r="H108" s="13">
        <f>G108/F108</f>
        <v>0.46822834645669292</v>
      </c>
      <c r="I108" s="12">
        <v>22376</v>
      </c>
      <c r="J108" s="12">
        <v>855.25</v>
      </c>
      <c r="K108" s="13">
        <f>J108/I108</f>
        <v>3.8221755452270287E-2</v>
      </c>
      <c r="L108" s="12">
        <v>74870</v>
      </c>
      <c r="M108" s="12">
        <v>5171.99</v>
      </c>
      <c r="N108" s="13">
        <f>M108/L108</f>
        <v>6.9079604648056625E-2</v>
      </c>
    </row>
    <row r="109" spans="1:14" ht="51">
      <c r="A109" s="8">
        <v>2</v>
      </c>
      <c r="B109" s="9" t="s">
        <v>10</v>
      </c>
      <c r="C109" s="12">
        <v>7975</v>
      </c>
      <c r="D109" s="12">
        <v>0</v>
      </c>
      <c r="E109" s="13">
        <f t="shared" ref="E109:E110" si="15">D109/C109</f>
        <v>0</v>
      </c>
      <c r="F109" s="12">
        <v>996</v>
      </c>
      <c r="G109" s="12">
        <v>106.51</v>
      </c>
      <c r="H109" s="13">
        <f t="shared" ref="H109" si="16">G109/F109</f>
        <v>0.10693775100401606</v>
      </c>
      <c r="I109" s="12">
        <v>3454</v>
      </c>
      <c r="J109" s="12"/>
      <c r="K109" s="13">
        <f t="shared" ref="K109:K110" si="17">J109/I109</f>
        <v>0</v>
      </c>
      <c r="L109" s="12">
        <v>12425</v>
      </c>
      <c r="M109" s="12">
        <v>106.51</v>
      </c>
      <c r="N109" s="13">
        <f t="shared" ref="N109:N110" si="18">M109/L109</f>
        <v>8.5722334004024146E-3</v>
      </c>
    </row>
    <row r="110" spans="1:14">
      <c r="A110" s="8">
        <v>3</v>
      </c>
      <c r="B110" s="9" t="s">
        <v>11</v>
      </c>
      <c r="C110" s="12">
        <v>3035</v>
      </c>
      <c r="D110" s="12">
        <v>495.64</v>
      </c>
      <c r="E110" s="13">
        <f t="shared" si="15"/>
        <v>0.16330807248764415</v>
      </c>
      <c r="F110" s="12"/>
      <c r="G110" s="12" t="s">
        <v>14</v>
      </c>
      <c r="H110" s="13" t="s">
        <v>14</v>
      </c>
      <c r="I110" s="12">
        <v>2070</v>
      </c>
      <c r="J110" s="12">
        <v>302.18</v>
      </c>
      <c r="K110" s="13">
        <f t="shared" si="17"/>
        <v>0.14598067632850242</v>
      </c>
      <c r="L110" s="12">
        <v>5105</v>
      </c>
      <c r="M110" s="12">
        <v>797.82</v>
      </c>
      <c r="N110" s="13">
        <f t="shared" si="18"/>
        <v>0.1562820763956905</v>
      </c>
    </row>
    <row r="111" spans="1:14">
      <c r="A111" s="8">
        <v>4</v>
      </c>
      <c r="B111" s="9" t="s">
        <v>12</v>
      </c>
      <c r="C111" s="12"/>
      <c r="D111" s="12">
        <v>4000</v>
      </c>
      <c r="E111" s="13"/>
      <c r="F111" s="12"/>
      <c r="G111" s="12">
        <v>250</v>
      </c>
      <c r="H111" s="13"/>
      <c r="I111" s="12"/>
      <c r="J111" s="12"/>
      <c r="K111" s="13"/>
      <c r="L111" s="12"/>
      <c r="M111" s="12"/>
      <c r="N111" s="13"/>
    </row>
    <row r="112" spans="1:14">
      <c r="A112" s="678" t="s">
        <v>2</v>
      </c>
      <c r="B112" s="679"/>
      <c r="C112" s="37">
        <f>SUM(C108:C111)</f>
        <v>63250</v>
      </c>
      <c r="D112" s="37">
        <f>SUM(D108:D111)</f>
        <v>8693.44</v>
      </c>
      <c r="E112" s="38">
        <f t="shared" ref="E112" si="19">D112/C112</f>
        <v>0.13744569169960474</v>
      </c>
      <c r="F112" s="37">
        <f>SUM(F108:F111)</f>
        <v>1250</v>
      </c>
      <c r="G112" s="37">
        <f>SUM(G108:G111)</f>
        <v>475.44</v>
      </c>
      <c r="H112" s="38">
        <f t="shared" ref="H112" si="20">G112/F112</f>
        <v>0.38035200000000002</v>
      </c>
      <c r="I112" s="37">
        <f>SUM(I108:I111)</f>
        <v>27900</v>
      </c>
      <c r="J112" s="37">
        <f>SUM(J108:J111)</f>
        <v>1157.43</v>
      </c>
      <c r="K112" s="38">
        <f t="shared" ref="K112" si="21">J112/I112</f>
        <v>4.1484946236559142E-2</v>
      </c>
      <c r="L112" s="37">
        <f>SUM(L108:L111)</f>
        <v>92400</v>
      </c>
      <c r="M112" s="37">
        <f>SUM(M108:M111)</f>
        <v>6076.32</v>
      </c>
      <c r="N112" s="38">
        <f t="shared" ref="N112" si="22">M112/L112</f>
        <v>6.5761038961038965E-2</v>
      </c>
    </row>
    <row r="114" spans="1:9">
      <c r="A114" s="31" t="s">
        <v>42</v>
      </c>
    </row>
    <row r="116" spans="1:9" ht="25.5">
      <c r="A116" s="30" t="s">
        <v>16</v>
      </c>
      <c r="B116" s="30" t="s">
        <v>27</v>
      </c>
      <c r="C116" s="30" t="s">
        <v>17</v>
      </c>
      <c r="D116" s="30" t="s">
        <v>18</v>
      </c>
      <c r="E116" s="30" t="s">
        <v>19</v>
      </c>
      <c r="F116" s="30" t="s">
        <v>21</v>
      </c>
      <c r="G116" s="30" t="s">
        <v>20</v>
      </c>
      <c r="H116" s="30" t="s">
        <v>36</v>
      </c>
      <c r="I116" s="22"/>
    </row>
    <row r="117" spans="1:9">
      <c r="A117" s="23" t="s">
        <v>22</v>
      </c>
      <c r="B117" s="24" t="s">
        <v>28</v>
      </c>
      <c r="C117" s="26">
        <v>39990</v>
      </c>
      <c r="D117" s="26">
        <v>0</v>
      </c>
      <c r="E117" s="26">
        <v>3339.85</v>
      </c>
      <c r="F117" s="26">
        <v>1293.33</v>
      </c>
      <c r="G117" s="26">
        <v>36650.15</v>
      </c>
      <c r="H117" s="27">
        <f>E117/C117</f>
        <v>8.3517129282320579E-2</v>
      </c>
      <c r="I117" s="39"/>
    </row>
    <row r="118" spans="1:9" ht="25.5">
      <c r="A118" s="23" t="s">
        <v>23</v>
      </c>
      <c r="B118" s="24" t="s">
        <v>29</v>
      </c>
      <c r="C118" s="26">
        <v>860</v>
      </c>
      <c r="D118" s="26">
        <v>0</v>
      </c>
      <c r="E118" s="26">
        <v>297.95</v>
      </c>
      <c r="F118" s="26">
        <v>39.840000000000003</v>
      </c>
      <c r="G118" s="26">
        <v>262.05</v>
      </c>
      <c r="H118" s="27">
        <f t="shared" ref="H118:H122" si="23">E118/C118</f>
        <v>0.346453488372093</v>
      </c>
      <c r="I118" s="39"/>
    </row>
    <row r="119" spans="1:9" ht="25.5">
      <c r="A119" s="23" t="s">
        <v>24</v>
      </c>
      <c r="B119" s="24" t="s">
        <v>30</v>
      </c>
      <c r="C119" s="26">
        <v>7410</v>
      </c>
      <c r="D119" s="26">
        <v>0</v>
      </c>
      <c r="E119" s="26">
        <v>67.72</v>
      </c>
      <c r="F119" s="26">
        <v>2.5099999999999998</v>
      </c>
      <c r="G119" s="26">
        <v>7342.28</v>
      </c>
      <c r="H119" s="27">
        <f t="shared" si="23"/>
        <v>9.1390013495276645E-3</v>
      </c>
      <c r="I119" s="39"/>
    </row>
    <row r="120" spans="1:9">
      <c r="A120" s="23" t="s">
        <v>25</v>
      </c>
      <c r="B120" s="24" t="s">
        <v>31</v>
      </c>
      <c r="C120" s="26">
        <v>4650</v>
      </c>
      <c r="D120" s="26">
        <v>0</v>
      </c>
      <c r="E120" s="26">
        <v>304.08</v>
      </c>
      <c r="F120" s="26">
        <v>230.2</v>
      </c>
      <c r="G120" s="26">
        <v>4345.92</v>
      </c>
      <c r="H120" s="27">
        <f t="shared" si="23"/>
        <v>6.5393548387096767E-2</v>
      </c>
      <c r="I120" s="39"/>
    </row>
    <row r="121" spans="1:9">
      <c r="A121" s="23" t="s">
        <v>26</v>
      </c>
      <c r="B121" s="24" t="s">
        <v>32</v>
      </c>
      <c r="C121" s="26">
        <v>4020</v>
      </c>
      <c r="D121" s="26">
        <v>0</v>
      </c>
      <c r="E121" s="26">
        <v>109.53</v>
      </c>
      <c r="F121" s="26">
        <v>38.869999999999997</v>
      </c>
      <c r="G121" s="26">
        <v>3910.47</v>
      </c>
      <c r="H121" s="27">
        <f t="shared" si="23"/>
        <v>2.7246268656716418E-2</v>
      </c>
      <c r="I121" s="39"/>
    </row>
    <row r="122" spans="1:9">
      <c r="A122" s="6"/>
      <c r="B122" s="25" t="s">
        <v>33</v>
      </c>
      <c r="C122" s="26">
        <v>6320</v>
      </c>
      <c r="D122" s="26">
        <v>0</v>
      </c>
      <c r="E122" s="28">
        <v>0</v>
      </c>
      <c r="F122" s="28">
        <v>0</v>
      </c>
      <c r="G122" s="28">
        <v>6320</v>
      </c>
      <c r="H122" s="27">
        <f t="shared" si="23"/>
        <v>0</v>
      </c>
      <c r="I122" s="39"/>
    </row>
    <row r="123" spans="1:9" ht="25.5">
      <c r="A123" s="6"/>
      <c r="B123" s="25" t="s">
        <v>34</v>
      </c>
      <c r="C123" s="28">
        <v>0</v>
      </c>
      <c r="D123" s="26">
        <v>0</v>
      </c>
      <c r="E123" s="28">
        <v>4000</v>
      </c>
      <c r="F123" s="28">
        <v>0</v>
      </c>
      <c r="G123" s="28">
        <v>-4000</v>
      </c>
      <c r="H123" s="27">
        <v>0</v>
      </c>
      <c r="I123" s="39"/>
    </row>
    <row r="124" spans="1:9">
      <c r="A124" s="666" t="s">
        <v>2</v>
      </c>
      <c r="B124" s="667"/>
      <c r="C124" s="29">
        <f>SUM(C117:C123)</f>
        <v>63250</v>
      </c>
      <c r="D124" s="29">
        <f t="shared" ref="D124" si="24">SUM(D117:D123)</f>
        <v>0</v>
      </c>
      <c r="E124" s="29">
        <f t="shared" ref="E124" si="25">SUM(E117:E123)</f>
        <v>8119.1299999999992</v>
      </c>
      <c r="F124" s="29">
        <f>SUM(F117:F123)</f>
        <v>1604.7499999999998</v>
      </c>
      <c r="G124" s="29">
        <f t="shared" ref="G124" si="26">SUM(G117:G123)</f>
        <v>54830.87</v>
      </c>
      <c r="H124" s="27">
        <f t="shared" ref="H124" si="27">E124/C124</f>
        <v>0.12836569169960474</v>
      </c>
    </row>
    <row r="130" spans="1:8">
      <c r="A130" s="31" t="s">
        <v>43</v>
      </c>
    </row>
    <row r="132" spans="1:8" ht="25.5">
      <c r="A132" s="30" t="s">
        <v>16</v>
      </c>
      <c r="B132" s="30" t="s">
        <v>27</v>
      </c>
      <c r="C132" s="30" t="s">
        <v>17</v>
      </c>
      <c r="D132" s="30" t="s">
        <v>18</v>
      </c>
      <c r="E132" s="30" t="s">
        <v>19</v>
      </c>
      <c r="F132" s="30" t="s">
        <v>21</v>
      </c>
      <c r="G132" s="30" t="s">
        <v>20</v>
      </c>
      <c r="H132" s="30" t="s">
        <v>36</v>
      </c>
    </row>
    <row r="133" spans="1:8">
      <c r="A133" s="23" t="s">
        <v>22</v>
      </c>
      <c r="B133" s="24" t="s">
        <v>28</v>
      </c>
      <c r="C133" s="26">
        <v>0</v>
      </c>
      <c r="D133" s="26">
        <v>0</v>
      </c>
      <c r="E133" s="672">
        <v>250</v>
      </c>
      <c r="F133" s="672">
        <v>500</v>
      </c>
      <c r="G133" s="672">
        <v>1000</v>
      </c>
      <c r="H133" s="675">
        <v>0.2</v>
      </c>
    </row>
    <row r="134" spans="1:8" ht="25.5">
      <c r="A134" s="23" t="s">
        <v>23</v>
      </c>
      <c r="B134" s="24" t="s">
        <v>29</v>
      </c>
      <c r="C134" s="26">
        <v>10</v>
      </c>
      <c r="D134" s="26">
        <v>0</v>
      </c>
      <c r="E134" s="673"/>
      <c r="F134" s="673"/>
      <c r="G134" s="673"/>
      <c r="H134" s="676"/>
    </row>
    <row r="135" spans="1:8" ht="25.5">
      <c r="A135" s="23" t="s">
        <v>24</v>
      </c>
      <c r="B135" s="24" t="s">
        <v>30</v>
      </c>
      <c r="C135" s="26">
        <v>320</v>
      </c>
      <c r="D135" s="26">
        <v>0</v>
      </c>
      <c r="E135" s="673"/>
      <c r="F135" s="673"/>
      <c r="G135" s="673"/>
      <c r="H135" s="676"/>
    </row>
    <row r="136" spans="1:8">
      <c r="A136" s="23" t="s">
        <v>25</v>
      </c>
      <c r="B136" s="24" t="s">
        <v>31</v>
      </c>
      <c r="C136" s="26">
        <v>610</v>
      </c>
      <c r="D136" s="26">
        <v>0</v>
      </c>
      <c r="E136" s="673"/>
      <c r="F136" s="673"/>
      <c r="G136" s="673"/>
      <c r="H136" s="676"/>
    </row>
    <row r="137" spans="1:8">
      <c r="A137" s="23" t="s">
        <v>26</v>
      </c>
      <c r="B137" s="24" t="s">
        <v>32</v>
      </c>
      <c r="C137" s="26">
        <v>180</v>
      </c>
      <c r="D137" s="26">
        <v>0</v>
      </c>
      <c r="E137" s="674"/>
      <c r="F137" s="674"/>
      <c r="G137" s="674"/>
      <c r="H137" s="677"/>
    </row>
    <row r="138" spans="1:8">
      <c r="A138" s="6"/>
      <c r="B138" s="25" t="s">
        <v>33</v>
      </c>
      <c r="C138" s="26">
        <v>130</v>
      </c>
      <c r="D138" s="26">
        <v>0</v>
      </c>
      <c r="E138" s="28">
        <v>0</v>
      </c>
      <c r="F138" s="28">
        <v>0</v>
      </c>
      <c r="G138" s="28">
        <v>130</v>
      </c>
      <c r="H138" s="27">
        <f t="shared" ref="H138" si="28">E138/C138</f>
        <v>0</v>
      </c>
    </row>
    <row r="139" spans="1:8" ht="25.5">
      <c r="A139" s="6"/>
      <c r="B139" s="25" t="s">
        <v>34</v>
      </c>
      <c r="C139" s="28">
        <v>0</v>
      </c>
      <c r="D139" s="26">
        <v>0</v>
      </c>
      <c r="E139" s="28">
        <v>250</v>
      </c>
      <c r="F139" s="28">
        <v>0</v>
      </c>
      <c r="G139" s="28">
        <v>250</v>
      </c>
      <c r="H139" s="27">
        <v>0</v>
      </c>
    </row>
    <row r="140" spans="1:8">
      <c r="A140" s="666" t="s">
        <v>2</v>
      </c>
      <c r="B140" s="667"/>
      <c r="C140" s="29">
        <f>SUM(C133:C139)</f>
        <v>1250</v>
      </c>
      <c r="D140" s="29">
        <f t="shared" ref="D140" si="29">SUM(D133:D139)</f>
        <v>0</v>
      </c>
      <c r="E140" s="29">
        <v>250</v>
      </c>
      <c r="F140" s="29">
        <f t="shared" ref="F140" si="30">SUM(F133:F139)</f>
        <v>500</v>
      </c>
      <c r="G140" s="29">
        <v>1000</v>
      </c>
      <c r="H140" s="27">
        <f t="shared" ref="H140" si="31">E140/C140</f>
        <v>0.2</v>
      </c>
    </row>
    <row r="165" spans="1:11">
      <c r="A165" t="s">
        <v>44</v>
      </c>
    </row>
    <row r="167" spans="1:11">
      <c r="A167" s="661" t="s">
        <v>8</v>
      </c>
      <c r="B167" s="661"/>
      <c r="C167" s="661" t="s">
        <v>37</v>
      </c>
      <c r="D167" s="661"/>
      <c r="E167" s="663" t="s">
        <v>45</v>
      </c>
      <c r="F167" s="664"/>
      <c r="G167" s="665"/>
      <c r="H167" s="663" t="s">
        <v>46</v>
      </c>
      <c r="I167" s="664"/>
      <c r="J167" s="665"/>
      <c r="K167" s="40"/>
    </row>
    <row r="168" spans="1:11">
      <c r="A168" s="661"/>
      <c r="B168" s="661"/>
      <c r="C168" s="16" t="s">
        <v>6</v>
      </c>
      <c r="D168" s="16" t="s">
        <v>38</v>
      </c>
      <c r="E168" s="16" t="s">
        <v>6</v>
      </c>
      <c r="F168" s="16" t="s">
        <v>13</v>
      </c>
      <c r="G168" s="16" t="s">
        <v>0</v>
      </c>
      <c r="H168" s="16" t="s">
        <v>6</v>
      </c>
      <c r="I168" s="16" t="s">
        <v>13</v>
      </c>
      <c r="J168" s="16" t="s">
        <v>0</v>
      </c>
      <c r="K168" s="41"/>
    </row>
    <row r="169" spans="1:11" ht="38.25">
      <c r="A169" s="8">
        <v>1</v>
      </c>
      <c r="B169" s="9" t="s">
        <v>9</v>
      </c>
      <c r="C169" s="14">
        <v>52240</v>
      </c>
      <c r="D169" s="15">
        <v>0.82589999999999997</v>
      </c>
      <c r="E169" s="14">
        <v>14572.56</v>
      </c>
      <c r="F169" s="14">
        <v>4432.1499999999996</v>
      </c>
      <c r="G169" s="15">
        <v>0.30409999999999998</v>
      </c>
      <c r="H169" s="14">
        <v>14688.17</v>
      </c>
      <c r="I169" s="14">
        <v>5171.99</v>
      </c>
      <c r="J169" s="15">
        <v>0.35210000000000002</v>
      </c>
      <c r="K169" s="42"/>
    </row>
    <row r="170" spans="1:11" ht="51">
      <c r="A170" s="8">
        <v>2</v>
      </c>
      <c r="B170" s="9" t="s">
        <v>10</v>
      </c>
      <c r="C170" s="14">
        <v>7975</v>
      </c>
      <c r="D170" s="15">
        <v>0.12609999999999999</v>
      </c>
      <c r="E170" s="14">
        <v>1234.82</v>
      </c>
      <c r="F170" s="14">
        <v>106.51</v>
      </c>
      <c r="G170" s="15">
        <v>8.6300000000000002E-2</v>
      </c>
      <c r="H170" s="14">
        <v>1235.6500000000001</v>
      </c>
      <c r="I170" s="14">
        <v>106.51</v>
      </c>
      <c r="J170" s="15">
        <v>8.6199999999999999E-2</v>
      </c>
      <c r="K170" s="42"/>
    </row>
    <row r="171" spans="1:11">
      <c r="A171" s="8">
        <v>3</v>
      </c>
      <c r="B171" s="9" t="s">
        <v>11</v>
      </c>
      <c r="C171" s="14">
        <v>3035</v>
      </c>
      <c r="D171" s="15">
        <v>4.8000000000000001E-2</v>
      </c>
      <c r="E171" s="14">
        <v>1234.82</v>
      </c>
      <c r="F171" s="14">
        <v>347.47</v>
      </c>
      <c r="G171" s="15">
        <v>0.28139999999999998</v>
      </c>
      <c r="H171" s="14">
        <v>1291.24</v>
      </c>
      <c r="I171" s="46">
        <v>797.82</v>
      </c>
      <c r="J171" s="45">
        <v>0.6179</v>
      </c>
      <c r="K171" s="42"/>
    </row>
    <row r="172" spans="1:11">
      <c r="A172" s="662" t="s">
        <v>2</v>
      </c>
      <c r="B172" s="662"/>
      <c r="C172" s="20">
        <f>SUM(C169:C171)</f>
        <v>63250</v>
      </c>
      <c r="D172" s="21">
        <v>1</v>
      </c>
      <c r="E172" s="20">
        <f>SUM(E169:E171)</f>
        <v>17042.2</v>
      </c>
      <c r="F172" s="20">
        <f>SUM(F169:F171)</f>
        <v>4886.13</v>
      </c>
      <c r="G172" s="21">
        <v>0.28670000000000001</v>
      </c>
      <c r="H172" s="20">
        <f>SUM(H169:H171)</f>
        <v>17215.060000000001</v>
      </c>
      <c r="I172" s="20">
        <f>SUM(I169:I171)</f>
        <v>6076.32</v>
      </c>
      <c r="J172" s="21">
        <v>0.35299999999999998</v>
      </c>
      <c r="K172" s="43"/>
    </row>
    <row r="173" spans="1:11">
      <c r="C173" s="2"/>
      <c r="D173" s="2"/>
      <c r="E173" s="2"/>
      <c r="F173" s="2"/>
      <c r="G173" s="2"/>
      <c r="H173" s="2"/>
      <c r="I173" s="2"/>
      <c r="J173" s="2"/>
      <c r="K173" s="44"/>
    </row>
    <row r="174" spans="1:11">
      <c r="K174" s="44"/>
    </row>
  </sheetData>
  <mergeCells count="34">
    <mergeCell ref="C14:E14"/>
    <mergeCell ref="F14:H14"/>
    <mergeCell ref="I14:K14"/>
    <mergeCell ref="L14:N14"/>
    <mergeCell ref="A14:B15"/>
    <mergeCell ref="L106:N106"/>
    <mergeCell ref="A112:B112"/>
    <mergeCell ref="H56:H60"/>
    <mergeCell ref="A20:B20"/>
    <mergeCell ref="A47:B47"/>
    <mergeCell ref="A63:B63"/>
    <mergeCell ref="E56:E60"/>
    <mergeCell ref="F56:F60"/>
    <mergeCell ref="G56:G60"/>
    <mergeCell ref="A26:B27"/>
    <mergeCell ref="C26:D26"/>
    <mergeCell ref="E26:G26"/>
    <mergeCell ref="H26:J26"/>
    <mergeCell ref="A31:B31"/>
    <mergeCell ref="A140:B140"/>
    <mergeCell ref="A106:B107"/>
    <mergeCell ref="C106:E106"/>
    <mergeCell ref="F106:H106"/>
    <mergeCell ref="I106:K106"/>
    <mergeCell ref="A124:B124"/>
    <mergeCell ref="E133:E137"/>
    <mergeCell ref="F133:F137"/>
    <mergeCell ref="G133:G137"/>
    <mergeCell ref="H133:H137"/>
    <mergeCell ref="A167:B168"/>
    <mergeCell ref="A172:B172"/>
    <mergeCell ref="C167:D167"/>
    <mergeCell ref="E167:G167"/>
    <mergeCell ref="H167:J167"/>
  </mergeCells>
  <pageMargins left="0.6" right="0.4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D119-FB7D-4ABA-97F6-375F3EB3225A}">
  <dimension ref="A2:J32"/>
  <sheetViews>
    <sheetView topLeftCell="A13" workbookViewId="0">
      <selection activeCell="O25" sqref="O25"/>
    </sheetView>
  </sheetViews>
  <sheetFormatPr defaultRowHeight="12.75"/>
  <cols>
    <col min="1" max="1" width="13.5703125" customWidth="1"/>
    <col min="2" max="2" width="15" customWidth="1"/>
    <col min="3" max="3" width="13.85546875" customWidth="1"/>
    <col min="4" max="4" width="13.5703125" customWidth="1"/>
    <col min="5" max="5" width="10" customWidth="1"/>
    <col min="6" max="6" width="14.140625" customWidth="1"/>
    <col min="7" max="7" width="13.28515625" customWidth="1"/>
    <col min="8" max="8" width="14.42578125" customWidth="1"/>
    <col min="9" max="9" width="10.28515625" customWidth="1"/>
    <col min="10" max="10" width="9.42578125" bestFit="1" customWidth="1"/>
  </cols>
  <sheetData>
    <row r="2" spans="1:10" ht="15">
      <c r="A2" s="58" t="s">
        <v>67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680" t="s">
        <v>64</v>
      </c>
      <c r="B4" s="680"/>
      <c r="C4" s="680"/>
      <c r="D4" s="2"/>
      <c r="E4" s="2"/>
      <c r="F4" s="2"/>
      <c r="G4" s="2"/>
      <c r="H4" s="2"/>
      <c r="I4" s="2"/>
      <c r="J4" s="2"/>
    </row>
    <row r="5" spans="1:10">
      <c r="A5" s="681" t="s">
        <v>63</v>
      </c>
      <c r="B5" s="684" t="s">
        <v>56</v>
      </c>
      <c r="C5" s="684"/>
      <c r="D5" s="684"/>
      <c r="E5" s="684"/>
      <c r="F5" s="684" t="s">
        <v>68</v>
      </c>
      <c r="G5" s="684"/>
      <c r="H5" s="684"/>
      <c r="I5" s="684"/>
      <c r="J5" s="684"/>
    </row>
    <row r="6" spans="1:10" ht="38.25">
      <c r="A6" s="682"/>
      <c r="B6" s="48" t="s">
        <v>53</v>
      </c>
      <c r="C6" s="48" t="s">
        <v>54</v>
      </c>
      <c r="D6" s="48" t="s">
        <v>55</v>
      </c>
      <c r="E6" s="48" t="s">
        <v>0</v>
      </c>
      <c r="F6" s="48" t="s">
        <v>57</v>
      </c>
      <c r="G6" s="48" t="s">
        <v>54</v>
      </c>
      <c r="H6" s="48" t="s">
        <v>58</v>
      </c>
      <c r="I6" s="48" t="s">
        <v>59</v>
      </c>
      <c r="J6" s="48" t="s">
        <v>0</v>
      </c>
    </row>
    <row r="7" spans="1:10">
      <c r="A7" s="49" t="s">
        <v>60</v>
      </c>
      <c r="B7" s="56">
        <v>14</v>
      </c>
      <c r="C7" s="50">
        <v>0</v>
      </c>
      <c r="D7" s="56">
        <v>14</v>
      </c>
      <c r="E7" s="50">
        <v>100</v>
      </c>
      <c r="F7" s="50">
        <f>31708416/100000</f>
        <v>317.08416</v>
      </c>
      <c r="G7" s="50">
        <v>0</v>
      </c>
      <c r="H7" s="50">
        <f>29229080/100000</f>
        <v>292.29079999999999</v>
      </c>
      <c r="I7" s="50"/>
      <c r="J7" s="50">
        <v>92</v>
      </c>
    </row>
    <row r="8" spans="1:10">
      <c r="A8" s="49" t="s">
        <v>28</v>
      </c>
      <c r="B8" s="56">
        <v>45</v>
      </c>
      <c r="C8" s="50">
        <v>0</v>
      </c>
      <c r="D8" s="56">
        <v>24</v>
      </c>
      <c r="E8" s="50">
        <v>53</v>
      </c>
      <c r="F8" s="50">
        <f>708020612.8/100000</f>
        <v>7080.2061279999998</v>
      </c>
      <c r="G8" s="50">
        <v>0</v>
      </c>
      <c r="H8" s="50">
        <f>448786734.8/100000</f>
        <v>4487.8673479999998</v>
      </c>
      <c r="I8" s="50"/>
      <c r="J8" s="50">
        <v>63</v>
      </c>
    </row>
    <row r="9" spans="1:10">
      <c r="A9" s="49" t="s">
        <v>61</v>
      </c>
      <c r="B9" s="56">
        <v>4</v>
      </c>
      <c r="C9" s="50">
        <v>0</v>
      </c>
      <c r="D9" s="56">
        <v>3</v>
      </c>
      <c r="E9" s="50">
        <v>75</v>
      </c>
      <c r="F9" s="50">
        <f>17374200/100000</f>
        <v>173.74199999999999</v>
      </c>
      <c r="G9" s="50">
        <v>0</v>
      </c>
      <c r="H9" s="50">
        <f>13752000/100000</f>
        <v>137.52000000000001</v>
      </c>
      <c r="I9" s="50"/>
      <c r="J9" s="50">
        <v>79</v>
      </c>
    </row>
    <row r="10" spans="1:10">
      <c r="A10" s="52" t="s">
        <v>62</v>
      </c>
      <c r="B10" s="57">
        <v>63</v>
      </c>
      <c r="C10" s="53">
        <v>0</v>
      </c>
      <c r="D10" s="57">
        <v>27</v>
      </c>
      <c r="E10" s="53">
        <v>43</v>
      </c>
      <c r="F10" s="53">
        <f>757103228.8/100000</f>
        <v>7571.0322879999994</v>
      </c>
      <c r="G10" s="53">
        <v>0</v>
      </c>
      <c r="H10" s="53">
        <f>462538734.8/100000</f>
        <v>4625.3873480000002</v>
      </c>
      <c r="I10" s="53"/>
      <c r="J10" s="53">
        <v>61</v>
      </c>
    </row>
    <row r="11" spans="1:10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>
      <c r="A12" s="54"/>
      <c r="B12" s="55"/>
      <c r="C12" s="55"/>
      <c r="D12" s="55"/>
      <c r="E12" s="55"/>
      <c r="F12" s="55"/>
      <c r="G12" s="55"/>
      <c r="H12" s="55"/>
      <c r="I12" s="55"/>
      <c r="J12" s="55"/>
    </row>
    <row r="13" spans="1:10">
      <c r="A13" s="54"/>
      <c r="B13" s="55"/>
      <c r="C13" s="55"/>
      <c r="D13" s="55"/>
      <c r="E13" s="55"/>
      <c r="F13" s="55"/>
      <c r="G13" s="55"/>
      <c r="H13" s="55"/>
      <c r="I13" s="55"/>
      <c r="J13" s="55"/>
    </row>
    <row r="14" spans="1:10">
      <c r="A14" s="680" t="s">
        <v>65</v>
      </c>
      <c r="B14" s="680"/>
      <c r="C14" s="680"/>
      <c r="D14" s="2"/>
      <c r="E14" s="2"/>
      <c r="F14" s="2"/>
      <c r="G14" s="2"/>
      <c r="H14" s="2"/>
      <c r="I14" s="2"/>
      <c r="J14" s="2"/>
    </row>
    <row r="15" spans="1:10">
      <c r="A15" s="683" t="s">
        <v>63</v>
      </c>
      <c r="B15" s="684" t="s">
        <v>56</v>
      </c>
      <c r="C15" s="684"/>
      <c r="D15" s="684"/>
      <c r="E15" s="684"/>
      <c r="F15" s="684" t="s">
        <v>68</v>
      </c>
      <c r="G15" s="684"/>
      <c r="H15" s="684"/>
      <c r="I15" s="684"/>
      <c r="J15" s="684"/>
    </row>
    <row r="16" spans="1:10" ht="38.25">
      <c r="A16" s="683"/>
      <c r="B16" s="48" t="s">
        <v>53</v>
      </c>
      <c r="C16" s="48" t="s">
        <v>54</v>
      </c>
      <c r="D16" s="48" t="s">
        <v>55</v>
      </c>
      <c r="E16" s="48" t="s">
        <v>0</v>
      </c>
      <c r="F16" s="48" t="s">
        <v>57</v>
      </c>
      <c r="G16" s="48" t="s">
        <v>54</v>
      </c>
      <c r="H16" s="48" t="s">
        <v>58</v>
      </c>
      <c r="I16" s="48" t="s">
        <v>59</v>
      </c>
      <c r="J16" s="48" t="s">
        <v>0</v>
      </c>
    </row>
    <row r="17" spans="1:10">
      <c r="A17" s="49" t="s">
        <v>60</v>
      </c>
      <c r="B17" s="51">
        <v>33</v>
      </c>
      <c r="C17" s="50">
        <v>0</v>
      </c>
      <c r="D17" s="51">
        <v>3</v>
      </c>
      <c r="E17" s="50">
        <v>9</v>
      </c>
      <c r="F17" s="50">
        <f>72456589.81/100000</f>
        <v>724.56589810000003</v>
      </c>
      <c r="G17" s="50">
        <v>0</v>
      </c>
      <c r="H17" s="50">
        <f>16800967/100000</f>
        <v>168.00967</v>
      </c>
      <c r="I17" s="50"/>
      <c r="J17" s="50">
        <v>23</v>
      </c>
    </row>
    <row r="18" spans="1:10">
      <c r="A18" s="49" t="s">
        <v>28</v>
      </c>
      <c r="B18" s="51">
        <v>80</v>
      </c>
      <c r="C18" s="50">
        <v>0</v>
      </c>
      <c r="D18" s="51">
        <v>32</v>
      </c>
      <c r="E18" s="50">
        <v>40</v>
      </c>
      <c r="F18" s="50">
        <f>957742936.4/100000</f>
        <v>9577.4293639999996</v>
      </c>
      <c r="G18" s="50">
        <v>0</v>
      </c>
      <c r="H18" s="50">
        <f>457615039.3/100000</f>
        <v>4576.1503929999999</v>
      </c>
      <c r="I18" s="50"/>
      <c r="J18" s="50">
        <v>48</v>
      </c>
    </row>
    <row r="19" spans="1:10">
      <c r="A19" s="49" t="s">
        <v>61</v>
      </c>
      <c r="B19" s="59">
        <v>53</v>
      </c>
      <c r="C19" s="60">
        <v>0</v>
      </c>
      <c r="D19" s="59">
        <v>46</v>
      </c>
      <c r="E19" s="50">
        <v>87</v>
      </c>
      <c r="F19" s="60">
        <f>734997433/100000</f>
        <v>7349.97433</v>
      </c>
      <c r="G19" s="60">
        <v>0</v>
      </c>
      <c r="H19" s="60">
        <f>324474212.1/100000</f>
        <v>3244.7421210000002</v>
      </c>
      <c r="I19" s="60"/>
      <c r="J19" s="50">
        <v>44</v>
      </c>
    </row>
    <row r="20" spans="1:10">
      <c r="A20" s="52" t="s">
        <v>62</v>
      </c>
      <c r="B20" s="51">
        <v>166</v>
      </c>
      <c r="C20" s="50">
        <v>0</v>
      </c>
      <c r="D20" s="51">
        <v>81</v>
      </c>
      <c r="E20" s="50">
        <v>49</v>
      </c>
      <c r="F20" s="50">
        <f>1765196959/100000</f>
        <v>17651.969590000001</v>
      </c>
      <c r="G20" s="50">
        <v>0</v>
      </c>
      <c r="H20" s="50">
        <f>798890218.4/100000</f>
        <v>7988.9021839999996</v>
      </c>
      <c r="I20" s="50"/>
      <c r="J20" s="50">
        <v>45</v>
      </c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680" t="s">
        <v>66</v>
      </c>
      <c r="B23" s="680"/>
      <c r="C23" s="680"/>
      <c r="D23" s="2"/>
      <c r="E23" s="2"/>
      <c r="F23" s="2"/>
      <c r="G23" s="2"/>
      <c r="H23" s="2"/>
      <c r="I23" s="2"/>
      <c r="J23" s="2"/>
    </row>
    <row r="24" spans="1:10">
      <c r="A24" s="683" t="s">
        <v>63</v>
      </c>
      <c r="B24" s="684" t="s">
        <v>56</v>
      </c>
      <c r="C24" s="684"/>
      <c r="D24" s="684"/>
      <c r="E24" s="684"/>
      <c r="F24" s="684" t="s">
        <v>68</v>
      </c>
      <c r="G24" s="684"/>
      <c r="H24" s="684"/>
      <c r="I24" s="684"/>
      <c r="J24" s="684"/>
    </row>
    <row r="25" spans="1:10" ht="38.25">
      <c r="A25" s="683"/>
      <c r="B25" s="48" t="s">
        <v>53</v>
      </c>
      <c r="C25" s="48" t="s">
        <v>54</v>
      </c>
      <c r="D25" s="48" t="s">
        <v>55</v>
      </c>
      <c r="E25" s="48" t="s">
        <v>0</v>
      </c>
      <c r="F25" s="48" t="s">
        <v>57</v>
      </c>
      <c r="G25" s="48" t="s">
        <v>54</v>
      </c>
      <c r="H25" s="48" t="s">
        <v>58</v>
      </c>
      <c r="I25" s="48" t="s">
        <v>59</v>
      </c>
      <c r="J25" s="48" t="s">
        <v>0</v>
      </c>
    </row>
    <row r="26" spans="1:10">
      <c r="A26" s="49" t="s">
        <v>60</v>
      </c>
      <c r="B26" s="51">
        <v>32</v>
      </c>
      <c r="C26" s="51"/>
      <c r="D26" s="51"/>
      <c r="E26" s="51" t="s">
        <v>14</v>
      </c>
      <c r="F26" s="50">
        <f>56783949.49/100000</f>
        <v>567.83949489999998</v>
      </c>
      <c r="G26" s="7"/>
      <c r="H26" s="7"/>
      <c r="I26" s="7"/>
      <c r="J26" s="7"/>
    </row>
    <row r="27" spans="1:10">
      <c r="A27" s="49" t="s">
        <v>28</v>
      </c>
      <c r="B27" s="51">
        <v>139</v>
      </c>
      <c r="C27" s="51"/>
      <c r="D27" s="51"/>
      <c r="E27" s="51" t="s">
        <v>14</v>
      </c>
      <c r="F27" s="50">
        <f>1166104527/100000</f>
        <v>11661.045270000001</v>
      </c>
      <c r="G27" s="7"/>
      <c r="H27" s="7"/>
      <c r="I27" s="7"/>
      <c r="J27" s="7"/>
    </row>
    <row r="28" spans="1:10">
      <c r="A28" s="49" t="s">
        <v>61</v>
      </c>
      <c r="B28" s="59">
        <v>13</v>
      </c>
      <c r="C28" s="59"/>
      <c r="D28" s="59"/>
      <c r="E28" s="51" t="s">
        <v>14</v>
      </c>
      <c r="F28" s="60">
        <f>531803145/100000</f>
        <v>5318.0314500000004</v>
      </c>
      <c r="G28" s="7"/>
      <c r="H28" s="7"/>
      <c r="I28" s="7"/>
      <c r="J28" s="7"/>
    </row>
    <row r="29" spans="1:10">
      <c r="A29" s="52" t="s">
        <v>62</v>
      </c>
      <c r="B29" s="52">
        <v>184</v>
      </c>
      <c r="C29" s="52"/>
      <c r="D29" s="52"/>
      <c r="E29" s="52" t="s">
        <v>14</v>
      </c>
      <c r="F29" s="53">
        <f>1754691622/100000</f>
        <v>17546.916219999999</v>
      </c>
      <c r="G29" s="17"/>
      <c r="H29" s="17"/>
      <c r="I29" s="17"/>
      <c r="J29" s="17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12">
    <mergeCell ref="A23:C23"/>
    <mergeCell ref="A24:A25"/>
    <mergeCell ref="B24:E24"/>
    <mergeCell ref="F24:J24"/>
    <mergeCell ref="B5:E5"/>
    <mergeCell ref="F5:J5"/>
    <mergeCell ref="A4:C4"/>
    <mergeCell ref="A5:A6"/>
    <mergeCell ref="A15:A16"/>
    <mergeCell ref="B15:E15"/>
    <mergeCell ref="F15:J15"/>
    <mergeCell ref="A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Summary AWPB</vt:lpstr>
      <vt:lpstr>Detailed AWPB Com-1</vt:lpstr>
      <vt:lpstr>Detailed AWPB Com-2</vt:lpstr>
      <vt:lpstr>Detailed AWBCom-3 &amp; Total </vt:lpstr>
      <vt:lpstr>Financial Performance (June)</vt:lpstr>
      <vt:lpstr>Procurement</vt:lpstr>
      <vt:lpstr>'Summary AWPB'!_ftn1</vt:lpstr>
      <vt:lpstr>'Summary AWPB'!_ftnref1</vt:lpstr>
      <vt:lpstr>'Detailed AWBCom-3 &amp; Total '!Print_Area</vt:lpstr>
      <vt:lpstr>'Detailed AWPB Com-1'!Print_Area</vt:lpstr>
      <vt:lpstr>'Detailed AWPB Com-2'!Print_Area</vt:lpstr>
      <vt:lpstr>'Financial Performance (June)'!Print_Area</vt:lpstr>
      <vt:lpstr>Procurement!Print_Area</vt:lpstr>
      <vt:lpstr>'Detailed AWBCom-3 &amp; Total '!Print_Titles</vt:lpstr>
      <vt:lpstr>'Detailed AWPB Com-1'!Print_Titles</vt:lpstr>
      <vt:lpstr>'Detailed AWPB Com-2'!Print_Titles</vt:lpstr>
    </vt:vector>
  </TitlesOfParts>
  <Company>IFAD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m.donnat</dc:creator>
  <cp:lastModifiedBy>User</cp:lastModifiedBy>
  <cp:lastPrinted>2020-12-21T10:00:34Z</cp:lastPrinted>
  <dcterms:created xsi:type="dcterms:W3CDTF">2006-10-27T12:00:20Z</dcterms:created>
  <dcterms:modified xsi:type="dcterms:W3CDTF">2020-12-21T12:01:21Z</dcterms:modified>
</cp:coreProperties>
</file>