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/>
  <xr:revisionPtr revIDLastSave="0" documentId="13_ncr:1_{C70CAD8B-D714-49D2-98F4-30401DF805E4}" xr6:coauthVersionLast="46" xr6:coauthVersionMax="46" xr10:uidLastSave="{00000000-0000-0000-0000-000000000000}"/>
  <bookViews>
    <workbookView xWindow="-120" yWindow="-120" windowWidth="19440" windowHeight="15000" tabRatio="593" xr2:uid="{00000000-000D-0000-FFFF-FFFF00000000}"/>
  </bookViews>
  <sheets>
    <sheet name="progress 20-21" sheetId="15" r:id="rId1"/>
  </sheets>
  <definedNames>
    <definedName name="_xlnm._FilterDatabase" localSheetId="0" hidden="1">'progress 20-21'!$A$2:$E$639</definedName>
    <definedName name="_xlnm.Print_Area" localSheetId="0">'progress 20-21'!$A$2:$E$639</definedName>
    <definedName name="_xlnm.Print_Titles" localSheetId="0">'progress 20-21'!$2:$2</definedName>
  </definedNames>
  <calcPr calcId="181029"/>
</workbook>
</file>

<file path=xl/calcChain.xml><?xml version="1.0" encoding="utf-8"?>
<calcChain xmlns="http://schemas.openxmlformats.org/spreadsheetml/2006/main">
  <c r="E396" i="15" l="1"/>
  <c r="E395" i="15"/>
  <c r="E390" i="15"/>
  <c r="E394" i="15" s="1"/>
  <c r="E398" i="15" l="1"/>
  <c r="E388" i="15" l="1"/>
  <c r="E389" i="15" s="1"/>
  <c r="E340" i="15"/>
  <c r="E401" i="15" l="1"/>
  <c r="E637" i="15" l="1"/>
  <c r="E634" i="15"/>
  <c r="E631" i="15"/>
  <c r="E628" i="15"/>
  <c r="E625" i="15"/>
  <c r="E621" i="15"/>
  <c r="E619" i="15"/>
  <c r="E617" i="15"/>
  <c r="E615" i="15"/>
  <c r="E612" i="15"/>
  <c r="E608" i="15"/>
  <c r="E606" i="15"/>
  <c r="E603" i="15"/>
  <c r="E599" i="15"/>
  <c r="E595" i="15"/>
  <c r="E592" i="15"/>
  <c r="E590" i="15"/>
  <c r="E586" i="15"/>
  <c r="E584" i="15"/>
  <c r="E582" i="15"/>
  <c r="E580" i="15"/>
  <c r="E575" i="15"/>
  <c r="E574" i="15"/>
  <c r="E572" i="15"/>
  <c r="E570" i="15"/>
  <c r="E568" i="15"/>
  <c r="E565" i="15"/>
  <c r="E562" i="15"/>
  <c r="E559" i="15"/>
  <c r="E555" i="15"/>
  <c r="E553" i="15"/>
  <c r="E551" i="15"/>
  <c r="E549" i="15"/>
  <c r="E546" i="15"/>
  <c r="E543" i="15"/>
  <c r="E542" i="15"/>
  <c r="E540" i="15"/>
  <c r="E537" i="15"/>
  <c r="E532" i="15"/>
  <c r="E528" i="15"/>
  <c r="E529" i="15" s="1"/>
  <c r="E526" i="15"/>
  <c r="E527" i="15" s="1"/>
  <c r="E524" i="15"/>
  <c r="E525" i="15" s="1"/>
  <c r="E520" i="15"/>
  <c r="E523" i="15" s="1"/>
  <c r="E518" i="15"/>
  <c r="E519" i="15" s="1"/>
  <c r="E515" i="15"/>
  <c r="E514" i="15"/>
  <c r="E513" i="15"/>
  <c r="E510" i="15"/>
  <c r="E508" i="15"/>
  <c r="E504" i="15"/>
  <c r="E501" i="15"/>
  <c r="E499" i="15"/>
  <c r="E494" i="15"/>
  <c r="E492" i="15"/>
  <c r="E490" i="15"/>
  <c r="E487" i="15"/>
  <c r="E485" i="15"/>
  <c r="E481" i="15"/>
  <c r="E477" i="15"/>
  <c r="E475" i="15"/>
  <c r="E473" i="15"/>
  <c r="E470" i="15"/>
  <c r="E471" i="15" s="1"/>
  <c r="E463" i="15"/>
  <c r="E466" i="15" s="1"/>
  <c r="E459" i="15"/>
  <c r="E461" i="15" s="1"/>
  <c r="E457" i="15"/>
  <c r="E454" i="15"/>
  <c r="E448" i="15"/>
  <c r="E449" i="15" s="1"/>
  <c r="E444" i="15"/>
  <c r="E442" i="15"/>
  <c r="E440" i="15"/>
  <c r="E437" i="15"/>
  <c r="E433" i="15"/>
  <c r="E429" i="15"/>
  <c r="E428" i="15"/>
  <c r="E427" i="15"/>
  <c r="E424" i="15"/>
  <c r="E422" i="15"/>
  <c r="E420" i="15"/>
  <c r="E418" i="15"/>
  <c r="E416" i="15"/>
  <c r="E414" i="15"/>
  <c r="E408" i="15"/>
  <c r="E411" i="15" s="1"/>
  <c r="E405" i="15"/>
  <c r="E407" i="15" s="1"/>
  <c r="E404" i="15"/>
  <c r="E385" i="15"/>
  <c r="E383" i="15"/>
  <c r="E380" i="15"/>
  <c r="E377" i="15"/>
  <c r="E373" i="15"/>
  <c r="E371" i="15"/>
  <c r="E369" i="15"/>
  <c r="E366" i="15"/>
  <c r="E364" i="15"/>
  <c r="E361" i="15"/>
  <c r="E358" i="15"/>
  <c r="E355" i="15"/>
  <c r="E350" i="15"/>
  <c r="E346" i="15"/>
  <c r="E342" i="15"/>
  <c r="E337" i="15"/>
  <c r="E335" i="15"/>
  <c r="E333" i="15"/>
  <c r="E330" i="15"/>
  <c r="E328" i="15"/>
  <c r="E326" i="15"/>
  <c r="E324" i="15"/>
  <c r="E322" i="15"/>
  <c r="E320" i="15"/>
  <c r="E318" i="15"/>
  <c r="E314" i="15"/>
  <c r="E312" i="15"/>
  <c r="E310" i="15"/>
  <c r="E308" i="15"/>
  <c r="E306" i="15"/>
  <c r="E304" i="15"/>
  <c r="E302" i="15"/>
  <c r="E294" i="15"/>
  <c r="E297" i="15" s="1"/>
  <c r="E290" i="15"/>
  <c r="E289" i="15"/>
  <c r="E285" i="15"/>
  <c r="E284" i="15"/>
  <c r="E281" i="15"/>
  <c r="E280" i="15"/>
  <c r="E279" i="15"/>
  <c r="E275" i="15"/>
  <c r="E278" i="15" s="1"/>
  <c r="E274" i="15"/>
  <c r="E270" i="15"/>
  <c r="E265" i="15"/>
  <c r="E261" i="15"/>
  <c r="E259" i="15"/>
  <c r="E256" i="15"/>
  <c r="E254" i="15"/>
  <c r="E251" i="15"/>
  <c r="E249" i="15"/>
  <c r="E246" i="15"/>
  <c r="E243" i="15"/>
  <c r="E241" i="15"/>
  <c r="E238" i="15"/>
  <c r="E236" i="15"/>
  <c r="E233" i="15"/>
  <c r="E228" i="15"/>
  <c r="E224" i="15"/>
  <c r="E222" i="15"/>
  <c r="E220" i="15"/>
  <c r="E217" i="15"/>
  <c r="E214" i="15"/>
  <c r="E212" i="15"/>
  <c r="E209" i="15"/>
  <c r="E207" i="15"/>
  <c r="E204" i="15"/>
  <c r="E202" i="15"/>
  <c r="E198" i="15"/>
  <c r="E194" i="15"/>
  <c r="E196" i="15" s="1"/>
  <c r="E191" i="15"/>
  <c r="E193" i="15" s="1"/>
  <c r="E190" i="15"/>
  <c r="E187" i="15"/>
  <c r="E185" i="15"/>
  <c r="E183" i="15"/>
  <c r="E177" i="15"/>
  <c r="E180" i="15" s="1"/>
  <c r="E176" i="15"/>
  <c r="E171" i="15"/>
  <c r="E172" i="15" s="1"/>
  <c r="E170" i="15"/>
  <c r="E168" i="15"/>
  <c r="E166" i="15"/>
  <c r="E162" i="15"/>
  <c r="E160" i="15"/>
  <c r="E157" i="15"/>
  <c r="E153" i="15"/>
  <c r="E149" i="15"/>
  <c r="E145" i="15"/>
  <c r="E142" i="15"/>
  <c r="E143" i="15" s="1"/>
  <c r="E139" i="15"/>
  <c r="E137" i="15"/>
  <c r="E135" i="15"/>
  <c r="E132" i="15"/>
  <c r="E130" i="15"/>
  <c r="E128" i="15"/>
  <c r="E124" i="15"/>
  <c r="E123" i="15"/>
  <c r="E122" i="15"/>
  <c r="E121" i="15"/>
  <c r="E118" i="15"/>
  <c r="E116" i="15"/>
  <c r="E112" i="15"/>
  <c r="E104" i="15"/>
  <c r="E107" i="15" s="1"/>
  <c r="E102" i="15"/>
  <c r="E100" i="15"/>
  <c r="E99" i="15"/>
  <c r="E92" i="15"/>
  <c r="E94" i="15" s="1"/>
  <c r="E91" i="15"/>
  <c r="E89" i="15"/>
  <c r="E85" i="15"/>
  <c r="E80" i="15"/>
  <c r="E76" i="15"/>
  <c r="E78" i="15" s="1"/>
  <c r="E73" i="15"/>
  <c r="E72" i="15"/>
  <c r="E69" i="15"/>
  <c r="E68" i="15"/>
  <c r="E65" i="15"/>
  <c r="E67" i="15" s="1"/>
  <c r="E62" i="15"/>
  <c r="E64" i="15" s="1"/>
  <c r="E59" i="15"/>
  <c r="E61" i="15" s="1"/>
  <c r="E56" i="15"/>
  <c r="E58" i="15" s="1"/>
  <c r="E55" i="15"/>
  <c r="E50" i="15"/>
  <c r="E53" i="15" s="1"/>
  <c r="E49" i="15"/>
  <c r="E45" i="15"/>
  <c r="E41" i="15"/>
  <c r="E38" i="15"/>
  <c r="E34" i="15"/>
  <c r="E22" i="15"/>
  <c r="E20" i="15"/>
  <c r="E18" i="15"/>
  <c r="E16" i="15"/>
  <c r="E14" i="15"/>
  <c r="E11" i="15"/>
  <c r="E12" i="15" s="1"/>
  <c r="E9" i="15"/>
  <c r="E6" i="15"/>
  <c r="E7" i="15" s="1"/>
  <c r="E4" i="15"/>
  <c r="E556" i="15" l="1"/>
  <c r="E412" i="15"/>
  <c r="E351" i="15"/>
  <c r="E75" i="15"/>
  <c r="E517" i="15"/>
  <c r="E530" i="15" s="1"/>
  <c r="E71" i="15"/>
  <c r="E430" i="15"/>
  <c r="E438" i="15" s="1"/>
  <c r="E288" i="15"/>
  <c r="E544" i="15"/>
  <c r="E547" i="15" s="1"/>
  <c r="E293" i="15"/>
  <c r="E103" i="15"/>
  <c r="E108" i="15" s="1"/>
  <c r="E576" i="15"/>
  <c r="E125" i="15"/>
  <c r="E126" i="15" s="1"/>
  <c r="E283" i="15"/>
  <c r="E95" i="15"/>
  <c r="E488" i="15"/>
  <c r="E467" i="15"/>
  <c r="E495" i="15"/>
  <c r="E604" i="15"/>
  <c r="E338" i="15"/>
  <c r="E173" i="15"/>
  <c r="E30" i="15"/>
  <c r="E181" i="15"/>
  <c r="E215" i="15"/>
  <c r="E359" i="15"/>
  <c r="E386" i="15"/>
  <c r="E445" i="15"/>
  <c r="E478" i="15"/>
  <c r="E140" i="15"/>
  <c r="E199" i="15"/>
  <c r="E229" i="15"/>
  <c r="E244" i="15"/>
  <c r="E626" i="15"/>
  <c r="E266" i="15"/>
  <c r="E315" i="15"/>
  <c r="E331" i="15"/>
  <c r="E374" i="15"/>
  <c r="E566" i="15"/>
  <c r="E573" i="15"/>
  <c r="E638" i="15"/>
  <c r="E81" i="15" l="1"/>
  <c r="E298" i="15"/>
  <c r="E639" i="15" l="1"/>
</calcChain>
</file>

<file path=xl/sharedStrings.xml><?xml version="1.0" encoding="utf-8"?>
<sst xmlns="http://schemas.openxmlformats.org/spreadsheetml/2006/main" count="1270" uniqueCount="562">
  <si>
    <t>Khal</t>
  </si>
  <si>
    <t>Embankment</t>
  </si>
  <si>
    <t>WMCA Office</t>
  </si>
  <si>
    <t>Upazila</t>
  </si>
  <si>
    <t>Component</t>
  </si>
  <si>
    <t>Betagi</t>
  </si>
  <si>
    <t>Amtali</t>
  </si>
  <si>
    <t>Sadar</t>
  </si>
  <si>
    <t>Gournadi</t>
  </si>
  <si>
    <t>Muladi</t>
  </si>
  <si>
    <t>Banaripara</t>
  </si>
  <si>
    <t>Bakerganj</t>
  </si>
  <si>
    <t>Faridganj</t>
  </si>
  <si>
    <t>Dhamrai</t>
  </si>
  <si>
    <t>Chirirbandar</t>
  </si>
  <si>
    <t>Birol</t>
  </si>
  <si>
    <t>Madhukhali</t>
  </si>
  <si>
    <t>Baniachang</t>
  </si>
  <si>
    <t>Shorisabari</t>
  </si>
  <si>
    <t>Madarganj</t>
  </si>
  <si>
    <t>Islampur</t>
  </si>
  <si>
    <t>Kalai</t>
  </si>
  <si>
    <t>Karimganj</t>
  </si>
  <si>
    <t>Pakundia</t>
  </si>
  <si>
    <t>Kalkini</t>
  </si>
  <si>
    <t>Sreemongal</t>
  </si>
  <si>
    <t>Haluaghat</t>
  </si>
  <si>
    <t>Mithapukur</t>
  </si>
  <si>
    <t>Sherpur</t>
  </si>
  <si>
    <t>Ullapara</t>
  </si>
  <si>
    <t>Biswambarpur</t>
  </si>
  <si>
    <t>Sub-total</t>
  </si>
  <si>
    <t>Kalukhali</t>
  </si>
  <si>
    <t>Pangsha</t>
  </si>
  <si>
    <t>Baliakandi</t>
  </si>
  <si>
    <t>Companyganj</t>
  </si>
  <si>
    <t>Golapganj</t>
  </si>
  <si>
    <t>structure</t>
  </si>
  <si>
    <t>Dhobaura</t>
  </si>
  <si>
    <t>Fenchuganj</t>
  </si>
  <si>
    <t>Structure</t>
  </si>
  <si>
    <t>Gobindaganj</t>
  </si>
  <si>
    <t>Nabiganj</t>
  </si>
  <si>
    <t>CAD</t>
  </si>
  <si>
    <t>Bara Chhara (Nabiganj) Subproject</t>
  </si>
  <si>
    <t>Khetlal</t>
  </si>
  <si>
    <t>SP Name</t>
  </si>
  <si>
    <t>District Total</t>
  </si>
  <si>
    <t>Total Approved Allocation</t>
  </si>
  <si>
    <t>Kafila-Krishnanagar Subproject</t>
  </si>
  <si>
    <t xml:space="preserve"> </t>
  </si>
  <si>
    <t>Nikli</t>
  </si>
  <si>
    <t>Dakope</t>
  </si>
  <si>
    <t>Nalitabari</t>
  </si>
  <si>
    <t>Ranjana Jharna Khal Subproject</t>
  </si>
  <si>
    <t>Sutiar Khal Subproject</t>
  </si>
  <si>
    <t>khal</t>
  </si>
  <si>
    <t>Potka Khali Subproject</t>
  </si>
  <si>
    <t>Tola Khal Subproject</t>
  </si>
  <si>
    <t xml:space="preserve">Kandibari Khal Subproject </t>
  </si>
  <si>
    <t>Borom Chhara Subproject</t>
  </si>
  <si>
    <t>Pukuria Beel Subproject</t>
  </si>
  <si>
    <t>Shialmara Beel Subproject</t>
  </si>
  <si>
    <t>Muktikhola Khal Subproject</t>
  </si>
  <si>
    <t>Baralekha</t>
  </si>
  <si>
    <t>SP ID</t>
  </si>
  <si>
    <t>Bayestabak  Sub-project</t>
  </si>
  <si>
    <t>Purba Chila Khal sub-project</t>
  </si>
  <si>
    <t>Rabipur Sub-project</t>
  </si>
  <si>
    <t>Uzirpur</t>
  </si>
  <si>
    <t>Uzirpur Sub-Project</t>
  </si>
  <si>
    <t>Karapur Sub-Project</t>
  </si>
  <si>
    <t xml:space="preserve"> Khal</t>
  </si>
  <si>
    <t>Muladi Drainage   Sub-Project</t>
  </si>
  <si>
    <t>Sholok-Jugihati Sub-Project</t>
  </si>
  <si>
    <t>Dudhal Sub-project</t>
  </si>
  <si>
    <t xml:space="preserve"> Khal </t>
  </si>
  <si>
    <t>South Charpata Khal DR Subproject</t>
  </si>
  <si>
    <t>Bhelumia Subproject</t>
  </si>
  <si>
    <t>Kahaloo</t>
  </si>
  <si>
    <t>Pachim vogoil Bairadaghe Eidgaha Khal   Sub-project</t>
  </si>
  <si>
    <t>Jhanior parbhabanipur Sub-project</t>
  </si>
  <si>
    <t>Chowdhur Mizi Khal  Sub-project</t>
  </si>
  <si>
    <t>Alam Khali Subproject</t>
  </si>
  <si>
    <t>PurboMohonpur FCD SP</t>
  </si>
  <si>
    <t>Okra Beel DR &amp; WCS Sub-project</t>
  </si>
  <si>
    <t>Saltha</t>
  </si>
  <si>
    <t>Atghar-Durgapur Khal Sub-Project</t>
  </si>
  <si>
    <t>Shailjura Khal Sub-Project</t>
  </si>
  <si>
    <t>Borak Khal (Pukra) Sub-Project</t>
  </si>
  <si>
    <t>Shikta Maday Nungla Khal   Sub-Project</t>
  </si>
  <si>
    <t>Amlagari -Tulshiganga Sub-Project</t>
  </si>
  <si>
    <t>Harintala Golar Khal Sub-project</t>
  </si>
  <si>
    <t>Kalatala Kailashgonj Sub-project</t>
  </si>
  <si>
    <t>Roda Nodir Khal Sub-project</t>
  </si>
  <si>
    <t>Asramer Khal Sub-project</t>
  </si>
  <si>
    <t>Lungliachhara Sub-Project</t>
  </si>
  <si>
    <t>Dew Chhara Sub-Project</t>
  </si>
  <si>
    <t>Kachuar Khal Sub-Project</t>
  </si>
  <si>
    <t>TaraiNadi  Sub-Project</t>
  </si>
  <si>
    <t xml:space="preserve"> Structure </t>
  </si>
  <si>
    <t>Durgapur</t>
  </si>
  <si>
    <t>Bijoypur Bawaipara Sub Project</t>
  </si>
  <si>
    <t>Mekurjani Khal  Sub-Project</t>
  </si>
  <si>
    <t>Bipingonj  Sub-Project</t>
  </si>
  <si>
    <t>Galachipa</t>
  </si>
  <si>
    <t>Majumdar Khal -Daser Khal   Sub-project</t>
  </si>
  <si>
    <t>Isralbari-Madardoel FCD Sub Project</t>
  </si>
  <si>
    <t>Talbaria Beel  Sub-Project</t>
  </si>
  <si>
    <t>Brajamul-Bhiti Khal FCD Sub project</t>
  </si>
  <si>
    <t>Durgapur Khal Sub-project</t>
  </si>
  <si>
    <t>Muchidaha  Khal Sub-project</t>
  </si>
  <si>
    <t>Bishukhali Khal WCS Sub-project</t>
  </si>
  <si>
    <t>Bokrabari Sub Project</t>
  </si>
  <si>
    <t xml:space="preserve"> Embankment </t>
  </si>
  <si>
    <t>Tum Char- Charshahe brampur SP</t>
  </si>
  <si>
    <t>Singkhali Khal Subproject</t>
  </si>
  <si>
    <t>Koruna Khal Subproject</t>
  </si>
  <si>
    <t>Sonbunia Subproject</t>
  </si>
  <si>
    <t>Sarikal FCD Subproject</t>
  </si>
  <si>
    <t>Sonatala FCD Subproject</t>
  </si>
  <si>
    <t>Meghchami Subproject</t>
  </si>
  <si>
    <t>Komorpur-Gopalbila FCD Subproject</t>
  </si>
  <si>
    <t>Mitain-Naldanga FCD Subproject</t>
  </si>
  <si>
    <t xml:space="preserve">Jhiry Bridge-Jangalpara Khal </t>
  </si>
  <si>
    <t>Chang Noagaon-Rangamati Khal Subproject</t>
  </si>
  <si>
    <t>Sukhia Padmakuri Beel Subproject</t>
  </si>
  <si>
    <t>Batikamari Beel Subproject</t>
  </si>
  <si>
    <t>Borobaria-Suakair Subproject</t>
  </si>
  <si>
    <t>Melandah</t>
  </si>
  <si>
    <t>Gujabaida Khal Subproject</t>
  </si>
  <si>
    <t>Baira Khali Khal Subproject</t>
  </si>
  <si>
    <t>Dudiagachha-Jorkhali Ghat Subproject</t>
  </si>
  <si>
    <t>Paschim Barabala FCD Subproject</t>
  </si>
  <si>
    <t>Bhagalpur-Montala Subproject</t>
  </si>
  <si>
    <t>Naimuri Alidah Subproject</t>
  </si>
  <si>
    <t>Jaggannathpur</t>
  </si>
  <si>
    <t>Roail-Helalpur Subproject</t>
  </si>
  <si>
    <t>Bheki Beel Subproject</t>
  </si>
  <si>
    <t>Saidkati Subproject</t>
  </si>
  <si>
    <t>Ref.Line</t>
  </si>
  <si>
    <t>Jailkhana Khal Subproject</t>
  </si>
  <si>
    <t>GhoramaraBeel FCD Sub-Project</t>
  </si>
  <si>
    <t>Buraghat Rubber Dam Sub Project</t>
  </si>
  <si>
    <t>Bakkhali Rubber Dam</t>
  </si>
  <si>
    <t>Dumuria</t>
  </si>
  <si>
    <t>Lotabunia FCD Sub project</t>
  </si>
  <si>
    <t>Rubber Dam;Embankment</t>
  </si>
  <si>
    <t>Kendua</t>
  </si>
  <si>
    <t>SP25285</t>
  </si>
  <si>
    <t>Bahrail Beel Subproject</t>
  </si>
  <si>
    <t>Structure/CC block</t>
  </si>
  <si>
    <t>Raninagar</t>
  </si>
  <si>
    <t>WMCA</t>
  </si>
  <si>
    <t>Kujail-Roktodoho sub-Project</t>
  </si>
  <si>
    <t>Manda</t>
  </si>
  <si>
    <t>Parkulihar Paikpara Khal</t>
  </si>
  <si>
    <t>Charghat</t>
  </si>
  <si>
    <t>WRS</t>
  </si>
  <si>
    <t>Barkatpur Baladiar DR Sub-Project</t>
  </si>
  <si>
    <t>Tanore</t>
  </si>
  <si>
    <t>Bankeshor-NabutalaDr &amp; WCS Sub-Project</t>
  </si>
  <si>
    <t>Hatisal Ghritakanchan Sub-Project</t>
  </si>
  <si>
    <t>Naria</t>
  </si>
  <si>
    <t>Maizpara-Muktarer Char FCD Sub-Project</t>
  </si>
  <si>
    <t>Gagrizora Beel Sub-Project</t>
  </si>
  <si>
    <t>Gosairhat</t>
  </si>
  <si>
    <t>Kuchaipatti Sub-Project</t>
  </si>
  <si>
    <t>Rajoir</t>
  </si>
  <si>
    <t>Kamarer Khal Sub-Project</t>
  </si>
  <si>
    <t>Amgram Sub-Project</t>
  </si>
  <si>
    <t>Baliar Beel Boro Khal Sub-Project</t>
  </si>
  <si>
    <t>Kolatola Koilasganj Sub-Project</t>
  </si>
  <si>
    <t>Horintana Gholer Khal Sub Project</t>
  </si>
  <si>
    <t>Narayankhali Sub Project</t>
  </si>
  <si>
    <t>Botiaghat</t>
  </si>
  <si>
    <t>Babuganj</t>
  </si>
  <si>
    <t>Chandrapara FCD Sub-project</t>
  </si>
  <si>
    <t>Mehendiganj</t>
  </si>
  <si>
    <t>Chilmari FCD Sub-Project</t>
  </si>
  <si>
    <t>Poschim Soimtokta DR Sub-Project</t>
  </si>
  <si>
    <t>Shreemoti FCD Sub-project</t>
  </si>
  <si>
    <t>Gornodi</t>
  </si>
  <si>
    <t>Nolchira FCD Sub-Project</t>
  </si>
  <si>
    <t>Nalchiti</t>
  </si>
  <si>
    <t>Dopdopia FCD Sub-Project</t>
  </si>
  <si>
    <t>BhairabPasa FCD Sub-Project</t>
  </si>
  <si>
    <t>Diyakul DR Sub-Project</t>
  </si>
  <si>
    <t>Nobogram DR Sub-Project</t>
  </si>
  <si>
    <t>Kafurkathi DR Sub-Project</t>
  </si>
  <si>
    <t>Bashonda DR Sub-Project</t>
  </si>
  <si>
    <t>Lalmohon</t>
  </si>
  <si>
    <t>Mothbaria</t>
  </si>
  <si>
    <t>Mithakhali DR Sub-Project</t>
  </si>
  <si>
    <t>Chalitabunia DR Sub-Project</t>
  </si>
  <si>
    <t>Gilajhuki Beel Sub-Project</t>
  </si>
  <si>
    <t>Banderpara Chotra Beel Sb-Project</t>
  </si>
  <si>
    <t>Gobindoganj</t>
  </si>
  <si>
    <t>Saghata</t>
  </si>
  <si>
    <t>Aditmari</t>
  </si>
  <si>
    <t>Hatibandha</t>
  </si>
  <si>
    <t>Saniajan Rubber Dam Sub-Project</t>
  </si>
  <si>
    <t>Roumari</t>
  </si>
  <si>
    <t>Sonavori FMD</t>
  </si>
  <si>
    <t>Dholai River Sub-Project</t>
  </si>
  <si>
    <t>Dublai Vodraboti  Khal Sub-project</t>
  </si>
  <si>
    <t>Modhukhali</t>
  </si>
  <si>
    <t>Shreeram Kandi Sub-Project</t>
  </si>
  <si>
    <t>Laxmipur Sub-Project</t>
  </si>
  <si>
    <t>Pangsa</t>
  </si>
  <si>
    <t>Durgapur Khal Sub-Project</t>
  </si>
  <si>
    <t>Koidanga Bethulia Khal Sub-Project</t>
  </si>
  <si>
    <t>Sadhukhali Khal Sub-Project</t>
  </si>
  <si>
    <t>Tungipara</t>
  </si>
  <si>
    <t>Mondol Bari Sub-Project</t>
  </si>
  <si>
    <t>Kushli-Boira Sub-Project</t>
  </si>
  <si>
    <t>Fotikchori</t>
  </si>
  <si>
    <t>Halda Rubber Dam Sub-Project</t>
  </si>
  <si>
    <t xml:space="preserve">Kalapania Khal Sub-Project </t>
  </si>
  <si>
    <t>Rangunia</t>
  </si>
  <si>
    <t>Chondonais</t>
  </si>
  <si>
    <t>Lohagora</t>
  </si>
  <si>
    <t>Gumuria Subproject</t>
  </si>
  <si>
    <t>Fulbaria</t>
  </si>
  <si>
    <t>Guja kuri Subproject</t>
  </si>
  <si>
    <t>Nandail</t>
  </si>
  <si>
    <t>Bapail Beel Subproject</t>
  </si>
  <si>
    <t>Pachail Khal Subproject</t>
  </si>
  <si>
    <t xml:space="preserve">WMCA </t>
  </si>
  <si>
    <t>Chrirbandar</t>
  </si>
  <si>
    <t>Goramara Beel Sub-Project</t>
  </si>
  <si>
    <t>Joydebpur Deghon Sub-Project</t>
  </si>
  <si>
    <t>Birampur</t>
  </si>
  <si>
    <t>chrir Khal Sub-Project</t>
  </si>
  <si>
    <t>Parbotipur</t>
  </si>
  <si>
    <t>Bangalipur Jolkor Sub-Project</t>
  </si>
  <si>
    <t>Atwari</t>
  </si>
  <si>
    <t>Roshia Sub-Project</t>
  </si>
  <si>
    <t>Talma Rubber Dam Sub-Project</t>
  </si>
  <si>
    <t>Bir Badh Sub-Project</t>
  </si>
  <si>
    <t>Dhobadanga Nijpara Sub-Project</t>
  </si>
  <si>
    <t>Bajail Goalia Khal Sub-Project</t>
  </si>
  <si>
    <t>Shakhipur</t>
  </si>
  <si>
    <t>Shail Sindur Khal Sub-Project</t>
  </si>
  <si>
    <t>Mirzapur</t>
  </si>
  <si>
    <t>Umed Ali Khal Sub-Project</t>
  </si>
  <si>
    <t>Kalihati</t>
  </si>
  <si>
    <t>Panch Joair  Singna Sub-Project</t>
  </si>
  <si>
    <t>Banglabazar-Gopalpur Sub-Project</t>
  </si>
  <si>
    <t>Bangakha-Neamotpur Sub-Project</t>
  </si>
  <si>
    <t>Dhigholi -Kathali sub-Project</t>
  </si>
  <si>
    <t>Pukurdia-Naldogi Sub-Project</t>
  </si>
  <si>
    <t>Ramanondi-Kutubpur Sub-Project</t>
  </si>
  <si>
    <t>Goaliar Dogi Sub-Project</t>
  </si>
  <si>
    <t>Agrani-Digholi-Gondhobbopur Sub-Project</t>
  </si>
  <si>
    <t>Begumganj</t>
  </si>
  <si>
    <t>Doarabazar</t>
  </si>
  <si>
    <t>Haquenagar Sub-Project</t>
  </si>
  <si>
    <t>Tahirpur</t>
  </si>
  <si>
    <t>Chatak</t>
  </si>
  <si>
    <t>Biswamvarpur</t>
  </si>
  <si>
    <t>Ghagotia Rubberdam</t>
  </si>
  <si>
    <t>Makri Beel Sub-Project</t>
  </si>
  <si>
    <t>Goainghat</t>
  </si>
  <si>
    <t>Shiali Chara Sub-Project</t>
  </si>
  <si>
    <t>Kanaighat</t>
  </si>
  <si>
    <t>Suraikhal Sub-Project</t>
  </si>
  <si>
    <t>Azmiriganj</t>
  </si>
  <si>
    <t>Hirabari Monsur Khal Sub-Project</t>
  </si>
  <si>
    <t>Sherpur Katakhali Khal Sub-Project</t>
  </si>
  <si>
    <t>Lakhai</t>
  </si>
  <si>
    <t>Aicharbug Khal Sub-Project</t>
  </si>
  <si>
    <t>Haziganj</t>
  </si>
  <si>
    <t>Patanish-Noapara Khal Sub-Project</t>
  </si>
  <si>
    <t>Ramu</t>
  </si>
  <si>
    <t>Sonaichori Khal Sub-Project</t>
  </si>
  <si>
    <t>MonirJheel-Sonaichori Sub-Project</t>
  </si>
  <si>
    <t>Chaufoldondi Sub-Project</t>
  </si>
  <si>
    <t>Pekua</t>
  </si>
  <si>
    <t>Chokria</t>
  </si>
  <si>
    <t>Nor Ali Sub-Project</t>
  </si>
  <si>
    <t>Laxmipura Ranipur Gontakathi Sub-Project</t>
  </si>
  <si>
    <t>Taltoli</t>
  </si>
  <si>
    <t>Koraibaria Sub-Project</t>
  </si>
  <si>
    <t>Choto Mokamia Boro Mokamia Sub-Project</t>
  </si>
  <si>
    <t>Maitha Sub-Project</t>
  </si>
  <si>
    <t>Porir Khal Sub-Project</t>
  </si>
  <si>
    <t>Amtoli</t>
  </si>
  <si>
    <t>Aruakamini Sub-Project</t>
  </si>
  <si>
    <t>Potkakhali Sub-Project</t>
  </si>
  <si>
    <t>Dumki</t>
  </si>
  <si>
    <t xml:space="preserve">Noldoani Sub-Project </t>
  </si>
  <si>
    <t>Mirzaganj</t>
  </si>
  <si>
    <t xml:space="preserve">Chotra Subidkhali Sub-Project </t>
  </si>
  <si>
    <t>Napitkhali Burir Char Sub-Project</t>
  </si>
  <si>
    <t>Boalia Chara Sub-Project</t>
  </si>
  <si>
    <t>Karam Ali Chara Subproject</t>
  </si>
  <si>
    <t>Binoykathi DR Sub-Project</t>
  </si>
  <si>
    <t>Char Sakhina Sub-Project</t>
  </si>
  <si>
    <t>Farazganj Sub-Project</t>
  </si>
  <si>
    <t>Nali-Badurtali DR Sub-Project</t>
  </si>
  <si>
    <t>Dulia-Satbila Sub-Project</t>
  </si>
  <si>
    <t>Arua kalkalia Sub-Project</t>
  </si>
  <si>
    <t>Ferani Beel Shakhati Khal Sub-Project</t>
  </si>
  <si>
    <t>Borak khal-Katakhal Sub-Project</t>
  </si>
  <si>
    <t>Rubber Dam</t>
  </si>
  <si>
    <t>Bongaon Chara Sub-Project</t>
  </si>
  <si>
    <t>Baradol Uttor Koraigora Chara Sub-project</t>
  </si>
  <si>
    <t>Kakarkuri Sub-Project</t>
  </si>
  <si>
    <t>Silok Khal MormerMukh Rubber Dam</t>
  </si>
  <si>
    <t>Guilla Chhara Sub-Project</t>
  </si>
  <si>
    <t>Hungor Khal Rubber Dam</t>
  </si>
  <si>
    <t>BorojUngchhari Sub-Project</t>
  </si>
  <si>
    <t>Sonkhola Sub-Project</t>
  </si>
  <si>
    <t>Tetang- Sonaichori Sub-Project</t>
  </si>
  <si>
    <t>Pokkhali-Naikhandia Sub-Project</t>
  </si>
  <si>
    <t>Balajtola Kolomdanga Sub-Project</t>
  </si>
  <si>
    <t>Charboira-chargobra-Bhatia khal DR</t>
  </si>
  <si>
    <t>KaikuBunia -Chinguri Sub-Project</t>
  </si>
  <si>
    <t>Saldar Beel Sub-project</t>
  </si>
  <si>
    <t>BaraNurpur Sub-Project</t>
  </si>
  <si>
    <t>Salnar Khal Subproject</t>
  </si>
  <si>
    <t>Sawrnakhali  Khal Sub-Project</t>
  </si>
  <si>
    <t>Nimpara-Habibpur DR Sub-Project</t>
  </si>
  <si>
    <t>Mohammadkhani CAD Sub Project</t>
  </si>
  <si>
    <t>Ratandara Sodakhali Sub-Project</t>
  </si>
  <si>
    <t>Hialer Beel Sub-Project</t>
  </si>
  <si>
    <t>Bhelabari-Durgapur Rubber Dam Sub-Project</t>
  </si>
  <si>
    <t>Fouzdari FMD</t>
  </si>
  <si>
    <t>Dantbhanga FCD</t>
  </si>
  <si>
    <t>Dewanhat Sluicegate Sub-Project</t>
  </si>
  <si>
    <t>Mafizan Sub-Project</t>
  </si>
  <si>
    <t>Purendor Vushon Chandrer Bari-Sorbesher Ghat</t>
  </si>
  <si>
    <t>Goalkandi- Daturbari khal SP</t>
  </si>
  <si>
    <t>Shree Khalia Khal Sub-Project</t>
  </si>
  <si>
    <t>Sendra-Belchow Khal Sub-Project</t>
  </si>
  <si>
    <t>SP46216</t>
  </si>
  <si>
    <t>SP46276</t>
  </si>
  <si>
    <t>SP43034</t>
  </si>
  <si>
    <t>SP43040</t>
  </si>
  <si>
    <t>SP46245</t>
  </si>
  <si>
    <t>SP43041</t>
  </si>
  <si>
    <t>SP45195</t>
  </si>
  <si>
    <t>SP46274</t>
  </si>
  <si>
    <t>SP46217</t>
  </si>
  <si>
    <t>SP46221</t>
  </si>
  <si>
    <t>SP46272</t>
  </si>
  <si>
    <t>SP46219</t>
  </si>
  <si>
    <t>SP46243</t>
  </si>
  <si>
    <t>SP44097</t>
  </si>
  <si>
    <t>SP15307</t>
  </si>
  <si>
    <t>SP46275</t>
  </si>
  <si>
    <t>SP13088</t>
  </si>
  <si>
    <t>SP43066</t>
  </si>
  <si>
    <t>SP45174</t>
  </si>
  <si>
    <t>SP46271</t>
  </si>
  <si>
    <t>SP25295</t>
  </si>
  <si>
    <t>SP21007</t>
  </si>
  <si>
    <t>SP23060</t>
  </si>
  <si>
    <t>SP13096</t>
  </si>
  <si>
    <t>SP14127</t>
  </si>
  <si>
    <t>SP15311</t>
  </si>
  <si>
    <t>SP34141</t>
  </si>
  <si>
    <t>SP13056</t>
  </si>
  <si>
    <t>SP24181</t>
  </si>
  <si>
    <t>SP14193</t>
  </si>
  <si>
    <t>SP14197</t>
  </si>
  <si>
    <t>SP44113</t>
  </si>
  <si>
    <t>SP35233</t>
  </si>
  <si>
    <t>SP35181</t>
  </si>
  <si>
    <t>SP34124</t>
  </si>
  <si>
    <t>SP32018</t>
  </si>
  <si>
    <t>SP33071</t>
  </si>
  <si>
    <t>SP35170</t>
  </si>
  <si>
    <t>SP35218</t>
  </si>
  <si>
    <t>SP35195</t>
  </si>
  <si>
    <t>SP44098</t>
  </si>
  <si>
    <t>SP45175</t>
  </si>
  <si>
    <t>SP45197</t>
  </si>
  <si>
    <t>SP45161</t>
  </si>
  <si>
    <t>SP13099</t>
  </si>
  <si>
    <t>SP33083</t>
  </si>
  <si>
    <t>SP33102</t>
  </si>
  <si>
    <t>SP23087</t>
  </si>
  <si>
    <t>SP34145</t>
  </si>
  <si>
    <t>SP33053</t>
  </si>
  <si>
    <t>SP34109</t>
  </si>
  <si>
    <t>SP33055</t>
  </si>
  <si>
    <t>SP24177</t>
  </si>
  <si>
    <t>SP24158</t>
  </si>
  <si>
    <t>SP33089</t>
  </si>
  <si>
    <t>SP24132</t>
  </si>
  <si>
    <t>SP22039</t>
  </si>
  <si>
    <t>SP45187</t>
  </si>
  <si>
    <t>SP12020</t>
  </si>
  <si>
    <t>SP32014</t>
  </si>
  <si>
    <t>SP13068</t>
  </si>
  <si>
    <t>SP35226</t>
  </si>
  <si>
    <t>SP24142</t>
  </si>
  <si>
    <t>SP14117</t>
  </si>
  <si>
    <t>SP43071</t>
  </si>
  <si>
    <t>SP15245</t>
  </si>
  <si>
    <t>SP31005</t>
  </si>
  <si>
    <t>SP32026</t>
  </si>
  <si>
    <t>SP43061</t>
  </si>
  <si>
    <t>SP45145</t>
  </si>
  <si>
    <t>SP25222</t>
  </si>
  <si>
    <t>SP25298</t>
  </si>
  <si>
    <t>SP32013</t>
  </si>
  <si>
    <t>SP34133</t>
  </si>
  <si>
    <t>SP23071</t>
  </si>
  <si>
    <t>SP25200</t>
  </si>
  <si>
    <t>SP34152</t>
  </si>
  <si>
    <t>SP25262</t>
  </si>
  <si>
    <t>SP12036</t>
  </si>
  <si>
    <t>SP15246</t>
  </si>
  <si>
    <t>Nachna-Shalika Khal Sub-Project</t>
  </si>
  <si>
    <t>Shorishabari</t>
  </si>
  <si>
    <t>Bheki beel Subproject</t>
  </si>
  <si>
    <t>Satarkhali khal Subproject</t>
  </si>
  <si>
    <t>jhenaigati</t>
  </si>
  <si>
    <t>Moharashi SP</t>
  </si>
  <si>
    <t>SP45205</t>
  </si>
  <si>
    <t>SP43029</t>
  </si>
  <si>
    <t>SP46238</t>
  </si>
  <si>
    <t>SP46254</t>
  </si>
  <si>
    <t>SP25308</t>
  </si>
  <si>
    <t>SP15290</t>
  </si>
  <si>
    <t>SP25324</t>
  </si>
  <si>
    <t>SP46253</t>
  </si>
  <si>
    <t>SP14200</t>
  </si>
  <si>
    <t>SP13040</t>
  </si>
  <si>
    <t>SP44136</t>
  </si>
  <si>
    <t>SP15274</t>
  </si>
  <si>
    <t>SP15308</t>
  </si>
  <si>
    <t>SP22030</t>
  </si>
  <si>
    <t>SP22014</t>
  </si>
  <si>
    <t>SP45207</t>
  </si>
  <si>
    <t>SP25294</t>
  </si>
  <si>
    <t>SP25296</t>
  </si>
  <si>
    <t>SP46225</t>
  </si>
  <si>
    <t>SP46229</t>
  </si>
  <si>
    <t>SP99001</t>
  </si>
  <si>
    <t>SP44095</t>
  </si>
  <si>
    <t>SP24125</t>
  </si>
  <si>
    <t>SP25204</t>
  </si>
  <si>
    <t>SP46214</t>
  </si>
  <si>
    <t>SP45179</t>
  </si>
  <si>
    <t xml:space="preserve"> SP22021</t>
  </si>
  <si>
    <t>SP22040</t>
  </si>
  <si>
    <t>SP43051</t>
  </si>
  <si>
    <t>SP23096</t>
  </si>
  <si>
    <t>SP25245</t>
  </si>
  <si>
    <t>SP23085</t>
  </si>
  <si>
    <t>SP43045</t>
  </si>
  <si>
    <t>SP23098</t>
  </si>
  <si>
    <t>SP46262</t>
  </si>
  <si>
    <t>SP41010</t>
  </si>
  <si>
    <t>SP25214</t>
  </si>
  <si>
    <t>SP25287</t>
  </si>
  <si>
    <t>SP22026</t>
  </si>
  <si>
    <t>SP46255</t>
  </si>
  <si>
    <t>SP44130</t>
  </si>
  <si>
    <t>SP43035</t>
  </si>
  <si>
    <t>SP43054</t>
  </si>
  <si>
    <t>SP24131</t>
  </si>
  <si>
    <t>SP14203</t>
  </si>
  <si>
    <t>SP14169</t>
  </si>
  <si>
    <t>SP13042</t>
  </si>
  <si>
    <t>SP14167</t>
  </si>
  <si>
    <t>SP35180</t>
  </si>
  <si>
    <t>SP31004</t>
  </si>
  <si>
    <t>SP33074</t>
  </si>
  <si>
    <t>SP33087</t>
  </si>
  <si>
    <t>SP34127</t>
  </si>
  <si>
    <t>SP33093</t>
  </si>
  <si>
    <t>SP35243</t>
  </si>
  <si>
    <t>SP15218</t>
  </si>
  <si>
    <t>SP14174</t>
  </si>
  <si>
    <t>SP13059</t>
  </si>
  <si>
    <t>SP46280</t>
  </si>
  <si>
    <t>SP22002</t>
  </si>
  <si>
    <t>SP11009</t>
  </si>
  <si>
    <t>SP14206</t>
  </si>
  <si>
    <t>SP12026</t>
  </si>
  <si>
    <t>SP15263</t>
  </si>
  <si>
    <t>SP25189</t>
  </si>
  <si>
    <t>SP24127</t>
  </si>
  <si>
    <t>SP41006</t>
  </si>
  <si>
    <t>SP99009</t>
  </si>
  <si>
    <t>SP43065</t>
  </si>
  <si>
    <t>SP44100</t>
  </si>
  <si>
    <t>SP45162</t>
  </si>
  <si>
    <t>SP45202</t>
  </si>
  <si>
    <t>SP24141</t>
  </si>
  <si>
    <t>SP25233</t>
  </si>
  <si>
    <t>SP32032</t>
  </si>
  <si>
    <t>SP33078</t>
  </si>
  <si>
    <t>SP35257</t>
  </si>
  <si>
    <t>SP33081</t>
  </si>
  <si>
    <t>SP33080</t>
  </si>
  <si>
    <t>SP33048</t>
  </si>
  <si>
    <t>SP33056</t>
  </si>
  <si>
    <t>SP35190</t>
  </si>
  <si>
    <t>SP42026</t>
  </si>
  <si>
    <t>SP42025</t>
  </si>
  <si>
    <t>SP15226</t>
  </si>
  <si>
    <t>SP44119</t>
  </si>
  <si>
    <t>SP15305</t>
  </si>
  <si>
    <t>SP13087</t>
  </si>
  <si>
    <t>SP98007</t>
  </si>
  <si>
    <t>SP14210</t>
  </si>
  <si>
    <t>SP46249</t>
  </si>
  <si>
    <t>SP25210</t>
  </si>
  <si>
    <t>SP45189</t>
  </si>
  <si>
    <t>SP45206</t>
  </si>
  <si>
    <t>SP45168</t>
  </si>
  <si>
    <t>SP25223</t>
  </si>
  <si>
    <t>SP34111</t>
  </si>
  <si>
    <t>SP24167</t>
  </si>
  <si>
    <t>SP21009</t>
  </si>
  <si>
    <t>SP13066</t>
  </si>
  <si>
    <t>SP25207</t>
  </si>
  <si>
    <t>SP14142</t>
  </si>
  <si>
    <t>SP14143</t>
  </si>
  <si>
    <t>SP15243</t>
  </si>
  <si>
    <t>SP22024</t>
  </si>
  <si>
    <t>SP35158</t>
  </si>
  <si>
    <t>SP13082</t>
  </si>
  <si>
    <t>SP25281</t>
  </si>
  <si>
    <t>SP35237</t>
  </si>
  <si>
    <t>SP25302</t>
  </si>
  <si>
    <t>SP34104</t>
  </si>
  <si>
    <t>SP23110</t>
  </si>
  <si>
    <t>SP34125</t>
  </si>
  <si>
    <t>SP33098</t>
  </si>
  <si>
    <t>SP99014</t>
  </si>
  <si>
    <t>SP35191</t>
  </si>
  <si>
    <t>SP23072</t>
  </si>
  <si>
    <t>SP33065</t>
  </si>
  <si>
    <t>SP23104</t>
  </si>
  <si>
    <t>SP25215</t>
  </si>
  <si>
    <t>SP25229</t>
  </si>
  <si>
    <t>SP24138</t>
  </si>
  <si>
    <t>SP35182</t>
  </si>
  <si>
    <t>Kawakhali Khal Sub-Project</t>
  </si>
  <si>
    <t>Harirampur</t>
  </si>
  <si>
    <t>SP45209</t>
  </si>
  <si>
    <t>Gopinathpur Beel Subproject</t>
  </si>
  <si>
    <t>Komolganj</t>
  </si>
  <si>
    <t>SP22044</t>
  </si>
  <si>
    <t>Chaiakhali Haor Subproject</t>
  </si>
  <si>
    <t>SP25248</t>
  </si>
  <si>
    <t>Juri</t>
  </si>
  <si>
    <t>SP34157</t>
  </si>
  <si>
    <t>Kawli Chhara Subproject</t>
  </si>
  <si>
    <t>Lauachara
Sub-Project</t>
  </si>
  <si>
    <t>SP34149</t>
  </si>
  <si>
    <t>Rubber Dam; Embankment</t>
  </si>
  <si>
    <t>Structure,Rubber Dam</t>
  </si>
  <si>
    <t>Annesha Dighi Subproject</t>
  </si>
  <si>
    <t xml:space="preserve">Allocations of IWRMU(O&amp;M) FY 2020-2021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</si>
</sst>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8"/>
      <color indexed="8"/>
      <name val="Arial Narrow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theme="1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sz val="8.5"/>
      <color rgb="FF000000"/>
      <name val="Times New Roman"/>
      <family val="1"/>
    </font>
    <font>
      <b/>
      <sz val="8.5"/>
      <color theme="1"/>
      <name val="Times New Roman"/>
      <family val="1"/>
    </font>
    <font>
      <sz val="8.5"/>
      <color rgb="FFFF0000"/>
      <name val="Times New Roman"/>
      <family val="1"/>
    </font>
    <font>
      <b/>
      <sz val="8.5"/>
      <color rgb="FF000000"/>
      <name val="Times New Roman"/>
      <family val="1"/>
    </font>
    <font>
      <b/>
      <sz val="11"/>
      <name val="Times New Roman"/>
      <family val="1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3" fontId="4" fillId="0" borderId="0" xfId="4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1" xfId="1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3" fontId="8" fillId="0" borderId="1" xfId="4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4" applyNumberFormat="1" applyFont="1" applyFill="1" applyBorder="1" applyAlignment="1">
      <alignment vertical="center" wrapText="1"/>
    </xf>
    <xf numFmtId="43" fontId="8" fillId="0" borderId="1" xfId="4" applyNumberFormat="1" applyFont="1" applyFill="1" applyBorder="1" applyAlignment="1">
      <alignment vertical="center" wrapText="1"/>
    </xf>
    <xf numFmtId="43" fontId="10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0" fillId="0" borderId="1" xfId="4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top" wrapText="1"/>
    </xf>
    <xf numFmtId="43" fontId="11" fillId="0" borderId="1" xfId="4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43" fontId="11" fillId="0" borderId="1" xfId="4" applyNumberFormat="1" applyFont="1" applyFill="1" applyBorder="1" applyAlignment="1">
      <alignment vertical="center"/>
    </xf>
    <xf numFmtId="43" fontId="10" fillId="0" borderId="1" xfId="4" applyNumberFormat="1" applyFont="1" applyFill="1" applyBorder="1" applyAlignment="1">
      <alignment wrapText="1"/>
    </xf>
    <xf numFmtId="43" fontId="12" fillId="0" borderId="1" xfId="4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top"/>
    </xf>
    <xf numFmtId="43" fontId="10" fillId="0" borderId="1" xfId="4" applyNumberFormat="1" applyFont="1" applyFill="1" applyBorder="1" applyAlignment="1"/>
    <xf numFmtId="164" fontId="8" fillId="0" borderId="1" xfId="0" applyNumberFormat="1" applyFont="1" applyFill="1" applyBorder="1" applyAlignment="1">
      <alignment horizontal="center" vertical="center"/>
    </xf>
    <xf numFmtId="43" fontId="12" fillId="0" borderId="1" xfId="4" applyNumberFormat="1" applyFont="1" applyFill="1" applyBorder="1" applyAlignment="1">
      <alignment vertical="center" wrapText="1"/>
    </xf>
    <xf numFmtId="43" fontId="8" fillId="0" borderId="1" xfId="4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43" fontId="8" fillId="0" borderId="1" xfId="4" applyNumberFormat="1" applyFont="1" applyFill="1" applyBorder="1" applyAlignment="1">
      <alignment vertical="top"/>
    </xf>
    <xf numFmtId="43" fontId="8" fillId="0" borderId="1" xfId="4" applyNumberFormat="1" applyFont="1" applyFill="1" applyBorder="1" applyAlignment="1">
      <alignment wrapText="1"/>
    </xf>
    <xf numFmtId="43" fontId="8" fillId="0" borderId="1" xfId="4" applyNumberFormat="1" applyFont="1" applyFill="1" applyBorder="1" applyAlignment="1"/>
    <xf numFmtId="43" fontId="12" fillId="0" borderId="1" xfId="4" applyNumberFormat="1" applyFont="1" applyFill="1" applyBorder="1" applyAlignment="1">
      <alignment vertical="top" wrapText="1"/>
    </xf>
    <xf numFmtId="43" fontId="10" fillId="0" borderId="1" xfId="4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/>
    </xf>
    <xf numFmtId="43" fontId="10" fillId="0" borderId="1" xfId="0" applyNumberFormat="1" applyFont="1" applyFill="1" applyBorder="1" applyAlignment="1">
      <alignment vertical="center" wrapText="1"/>
    </xf>
    <xf numFmtId="43" fontId="8" fillId="0" borderId="1" xfId="0" applyNumberFormat="1" applyFont="1" applyFill="1" applyBorder="1" applyAlignment="1">
      <alignment vertical="center" wrapText="1"/>
    </xf>
    <xf numFmtId="43" fontId="9" fillId="0" borderId="1" xfId="0" applyNumberFormat="1" applyFont="1" applyFill="1" applyBorder="1" applyAlignment="1">
      <alignment vertical="center"/>
    </xf>
    <xf numFmtId="43" fontId="7" fillId="0" borderId="1" xfId="0" applyNumberFormat="1" applyFont="1" applyFill="1" applyBorder="1" applyAlignment="1"/>
    <xf numFmtId="43" fontId="14" fillId="0" borderId="1" xfId="4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43" fontId="10" fillId="0" borderId="1" xfId="4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3" fontId="15" fillId="0" borderId="1" xfId="4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1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9"/>
  <sheetViews>
    <sheetView tabSelected="1" zoomScale="85" zoomScaleNormal="85" zoomScaleSheetLayoutView="85" workbookViewId="0">
      <pane ySplit="2" topLeftCell="A297" activePane="bottomLeft" state="frozen"/>
      <selection activeCell="Q331" activeCellId="2" sqref="J329 G390 Q331"/>
      <selection pane="bottomLeft" activeCell="I304" sqref="I304"/>
    </sheetView>
  </sheetViews>
  <sheetFormatPr defaultRowHeight="12.75" x14ac:dyDescent="0.25"/>
  <cols>
    <col min="1" max="1" width="13.42578125" style="3" customWidth="1"/>
    <col min="2" max="2" width="11.140625" style="4" customWidth="1"/>
    <col min="3" max="3" width="34" style="3" customWidth="1"/>
    <col min="4" max="4" width="15" style="5" customWidth="1"/>
    <col min="5" max="5" width="16.85546875" style="27" customWidth="1"/>
    <col min="6" max="16384" width="9.140625" style="2"/>
  </cols>
  <sheetData>
    <row r="1" spans="1:5" ht="51.75" customHeight="1" x14ac:dyDescent="0.25">
      <c r="A1" s="79" t="s">
        <v>561</v>
      </c>
      <c r="B1" s="79"/>
      <c r="C1" s="79"/>
      <c r="D1" s="79"/>
      <c r="E1" s="79"/>
    </row>
    <row r="2" spans="1:5" s="36" customFormat="1" ht="55.5" customHeight="1" x14ac:dyDescent="0.25">
      <c r="A2" s="76" t="s">
        <v>3</v>
      </c>
      <c r="B2" s="76" t="s">
        <v>65</v>
      </c>
      <c r="C2" s="76" t="s">
        <v>46</v>
      </c>
      <c r="D2" s="77" t="s">
        <v>4</v>
      </c>
      <c r="E2" s="78" t="s">
        <v>48</v>
      </c>
    </row>
    <row r="3" spans="1:5" s="37" customFormat="1" ht="30" customHeight="1" x14ac:dyDescent="0.25">
      <c r="A3" s="8" t="s">
        <v>7</v>
      </c>
      <c r="B3" s="8" t="s">
        <v>422</v>
      </c>
      <c r="C3" s="7" t="s">
        <v>294</v>
      </c>
      <c r="D3" s="14" t="s">
        <v>0</v>
      </c>
      <c r="E3" s="40">
        <v>5000000</v>
      </c>
    </row>
    <row r="4" spans="1:5" s="37" customFormat="1" ht="22.5" customHeight="1" x14ac:dyDescent="0.25">
      <c r="A4" s="41" t="s">
        <v>31</v>
      </c>
      <c r="B4" s="41"/>
      <c r="C4" s="41"/>
      <c r="D4" s="41"/>
      <c r="E4" s="42">
        <f>SUM(E3)</f>
        <v>5000000</v>
      </c>
    </row>
    <row r="5" spans="1:5" s="37" customFormat="1" ht="26.25" customHeight="1" x14ac:dyDescent="0.25">
      <c r="A5" s="8" t="s">
        <v>7</v>
      </c>
      <c r="B5" s="8" t="s">
        <v>423</v>
      </c>
      <c r="C5" s="9" t="s">
        <v>280</v>
      </c>
      <c r="D5" s="14" t="s">
        <v>0</v>
      </c>
      <c r="E5" s="40">
        <v>5000000</v>
      </c>
    </row>
    <row r="6" spans="1:5" s="37" customFormat="1" ht="22.5" customHeight="1" x14ac:dyDescent="0.25">
      <c r="A6" s="10"/>
      <c r="B6" s="10"/>
      <c r="C6" s="10"/>
      <c r="D6" s="10" t="s">
        <v>153</v>
      </c>
      <c r="E6" s="40">
        <f>20000+15000</f>
        <v>35000</v>
      </c>
    </row>
    <row r="7" spans="1:5" s="37" customFormat="1" ht="22.5" customHeight="1" x14ac:dyDescent="0.25">
      <c r="A7" s="41" t="s">
        <v>31</v>
      </c>
      <c r="B7" s="41"/>
      <c r="C7" s="41"/>
      <c r="D7" s="41"/>
      <c r="E7" s="42">
        <f>SUM(E5:E6)</f>
        <v>5035000</v>
      </c>
    </row>
    <row r="8" spans="1:5" s="37" customFormat="1" ht="30.75" customHeight="1" x14ac:dyDescent="0.25">
      <c r="A8" s="9" t="s">
        <v>5</v>
      </c>
      <c r="B8" s="9" t="s">
        <v>424</v>
      </c>
      <c r="C8" s="9" t="s">
        <v>281</v>
      </c>
      <c r="D8" s="14" t="s">
        <v>0</v>
      </c>
      <c r="E8" s="43">
        <v>4500000</v>
      </c>
    </row>
    <row r="9" spans="1:5" s="37" customFormat="1" ht="22.5" customHeight="1" x14ac:dyDescent="0.25">
      <c r="A9" s="41" t="s">
        <v>31</v>
      </c>
      <c r="B9" s="41"/>
      <c r="C9" s="41"/>
      <c r="D9" s="41"/>
      <c r="E9" s="42">
        <f>SUM(E8)</f>
        <v>4500000</v>
      </c>
    </row>
    <row r="10" spans="1:5" s="37" customFormat="1" ht="30.75" customHeight="1" x14ac:dyDescent="0.25">
      <c r="A10" s="9" t="s">
        <v>282</v>
      </c>
      <c r="B10" s="9" t="s">
        <v>425</v>
      </c>
      <c r="C10" s="9" t="s">
        <v>283</v>
      </c>
      <c r="D10" s="14" t="s">
        <v>0</v>
      </c>
      <c r="E10" s="40">
        <v>5000000</v>
      </c>
    </row>
    <row r="11" spans="1:5" s="37" customFormat="1" ht="22.5" customHeight="1" x14ac:dyDescent="0.25">
      <c r="A11" s="10"/>
      <c r="B11" s="10"/>
      <c r="C11" s="10"/>
      <c r="D11" s="10" t="s">
        <v>153</v>
      </c>
      <c r="E11" s="40">
        <f>75000+25000</f>
        <v>100000</v>
      </c>
    </row>
    <row r="12" spans="1:5" s="37" customFormat="1" ht="22.5" customHeight="1" x14ac:dyDescent="0.25">
      <c r="A12" s="41" t="s">
        <v>31</v>
      </c>
      <c r="B12" s="41"/>
      <c r="C12" s="41"/>
      <c r="D12" s="41"/>
      <c r="E12" s="42">
        <f>SUM(E10:E11)</f>
        <v>5100000</v>
      </c>
    </row>
    <row r="13" spans="1:5" s="37" customFormat="1" ht="31.5" customHeight="1" x14ac:dyDescent="0.25">
      <c r="A13" s="11" t="s">
        <v>5</v>
      </c>
      <c r="B13" s="11" t="s">
        <v>426</v>
      </c>
      <c r="C13" s="11" t="s">
        <v>284</v>
      </c>
      <c r="D13" s="14" t="s">
        <v>0</v>
      </c>
      <c r="E13" s="43">
        <v>2500000</v>
      </c>
    </row>
    <row r="14" spans="1:5" s="37" customFormat="1" ht="22.5" customHeight="1" x14ac:dyDescent="0.25">
      <c r="A14" s="41" t="s">
        <v>31</v>
      </c>
      <c r="B14" s="41"/>
      <c r="C14" s="41"/>
      <c r="D14" s="41"/>
      <c r="E14" s="42">
        <f>SUM(E13)</f>
        <v>2500000</v>
      </c>
    </row>
    <row r="15" spans="1:5" s="37" customFormat="1" ht="27.75" customHeight="1" x14ac:dyDescent="0.25">
      <c r="A15" s="11" t="s">
        <v>7</v>
      </c>
      <c r="B15" s="11" t="s">
        <v>427</v>
      </c>
      <c r="C15" s="11" t="s">
        <v>285</v>
      </c>
      <c r="D15" s="14" t="s">
        <v>0</v>
      </c>
      <c r="E15" s="43">
        <v>2100000</v>
      </c>
    </row>
    <row r="16" spans="1:5" s="37" customFormat="1" ht="22.5" customHeight="1" x14ac:dyDescent="0.25">
      <c r="A16" s="41" t="s">
        <v>31</v>
      </c>
      <c r="B16" s="41"/>
      <c r="C16" s="41"/>
      <c r="D16" s="41"/>
      <c r="E16" s="42">
        <f>SUM(E15)</f>
        <v>2100000</v>
      </c>
    </row>
    <row r="17" spans="1:5" s="37" customFormat="1" ht="27.75" customHeight="1" x14ac:dyDescent="0.25">
      <c r="A17" s="11" t="s">
        <v>7</v>
      </c>
      <c r="B17" s="11" t="s">
        <v>428</v>
      </c>
      <c r="C17" s="11" t="s">
        <v>286</v>
      </c>
      <c r="D17" s="14" t="s">
        <v>0</v>
      </c>
      <c r="E17" s="43">
        <v>3000000</v>
      </c>
    </row>
    <row r="18" spans="1:5" s="37" customFormat="1" ht="22.5" customHeight="1" x14ac:dyDescent="0.25">
      <c r="A18" s="41" t="s">
        <v>31</v>
      </c>
      <c r="B18" s="41"/>
      <c r="C18" s="41"/>
      <c r="D18" s="41"/>
      <c r="E18" s="42">
        <f>SUM(E17)</f>
        <v>3000000</v>
      </c>
    </row>
    <row r="19" spans="1:5" s="37" customFormat="1" ht="27.75" customHeight="1" x14ac:dyDescent="0.25">
      <c r="A19" s="11" t="s">
        <v>287</v>
      </c>
      <c r="B19" s="11" t="s">
        <v>429</v>
      </c>
      <c r="C19" s="11" t="s">
        <v>288</v>
      </c>
      <c r="D19" s="14" t="s">
        <v>0</v>
      </c>
      <c r="E19" s="43">
        <v>2000000</v>
      </c>
    </row>
    <row r="20" spans="1:5" s="37" customFormat="1" ht="22.5" customHeight="1" x14ac:dyDescent="0.25">
      <c r="A20" s="41" t="s">
        <v>31</v>
      </c>
      <c r="B20" s="41"/>
      <c r="C20" s="41"/>
      <c r="D20" s="41"/>
      <c r="E20" s="42">
        <f>SUM(E19)</f>
        <v>2000000</v>
      </c>
    </row>
    <row r="21" spans="1:5" s="37" customFormat="1" ht="28.5" customHeight="1" x14ac:dyDescent="0.25">
      <c r="A21" s="11" t="s">
        <v>7</v>
      </c>
      <c r="B21" s="11" t="s">
        <v>338</v>
      </c>
      <c r="C21" s="11" t="s">
        <v>289</v>
      </c>
      <c r="D21" s="14" t="s">
        <v>0</v>
      </c>
      <c r="E21" s="43">
        <v>4300000</v>
      </c>
    </row>
    <row r="22" spans="1:5" s="37" customFormat="1" ht="22.5" customHeight="1" x14ac:dyDescent="0.25">
      <c r="A22" s="41" t="s">
        <v>31</v>
      </c>
      <c r="B22" s="41"/>
      <c r="C22" s="41"/>
      <c r="D22" s="41"/>
      <c r="E22" s="42">
        <f>SUM(E21)</f>
        <v>4300000</v>
      </c>
    </row>
    <row r="23" spans="1:5" s="37" customFormat="1" ht="22.5" customHeight="1" x14ac:dyDescent="0.25">
      <c r="A23" s="8" t="s">
        <v>5</v>
      </c>
      <c r="B23" s="8" t="s">
        <v>336</v>
      </c>
      <c r="C23" s="7" t="s">
        <v>66</v>
      </c>
      <c r="D23" s="12" t="s">
        <v>0</v>
      </c>
      <c r="E23" s="42">
        <v>1222702</v>
      </c>
    </row>
    <row r="24" spans="1:5" s="37" customFormat="1" ht="22.5" customHeight="1" x14ac:dyDescent="0.25">
      <c r="A24" s="9" t="s">
        <v>6</v>
      </c>
      <c r="B24" s="9" t="s">
        <v>337</v>
      </c>
      <c r="C24" s="9" t="s">
        <v>67</v>
      </c>
      <c r="D24" s="14" t="s">
        <v>0</v>
      </c>
      <c r="E24" s="44">
        <v>245244</v>
      </c>
    </row>
    <row r="25" spans="1:5" s="37" customFormat="1" ht="22.5" customHeight="1" x14ac:dyDescent="0.25">
      <c r="A25" s="9" t="s">
        <v>7</v>
      </c>
      <c r="B25" s="9" t="s">
        <v>338</v>
      </c>
      <c r="C25" s="9" t="s">
        <v>57</v>
      </c>
      <c r="D25" s="14" t="s">
        <v>0</v>
      </c>
      <c r="E25" s="44">
        <v>196008</v>
      </c>
    </row>
    <row r="26" spans="1:5" s="37" customFormat="1" ht="22.5" customHeight="1" x14ac:dyDescent="0.25">
      <c r="A26" s="11" t="s">
        <v>6</v>
      </c>
      <c r="B26" s="11" t="s">
        <v>339</v>
      </c>
      <c r="C26" s="11" t="s">
        <v>116</v>
      </c>
      <c r="D26" s="45" t="s">
        <v>0</v>
      </c>
      <c r="E26" s="44">
        <v>783645</v>
      </c>
    </row>
    <row r="27" spans="1:5" s="37" customFormat="1" ht="22.5" customHeight="1" x14ac:dyDescent="0.25">
      <c r="A27" s="11" t="s">
        <v>5</v>
      </c>
      <c r="B27" s="11" t="s">
        <v>340</v>
      </c>
      <c r="C27" s="11" t="s">
        <v>117</v>
      </c>
      <c r="D27" s="45" t="s">
        <v>0</v>
      </c>
      <c r="E27" s="44">
        <v>2042837</v>
      </c>
    </row>
    <row r="28" spans="1:5" s="37" customFormat="1" ht="22.5" customHeight="1" x14ac:dyDescent="0.25">
      <c r="A28" s="7" t="s">
        <v>7</v>
      </c>
      <c r="B28" s="7" t="s">
        <v>341</v>
      </c>
      <c r="C28" s="7" t="s">
        <v>118</v>
      </c>
      <c r="D28" s="46" t="s">
        <v>1</v>
      </c>
      <c r="E28" s="44">
        <v>397499</v>
      </c>
    </row>
    <row r="29" spans="1:5" s="37" customFormat="1" ht="22.5" customHeight="1" x14ac:dyDescent="0.25">
      <c r="A29" s="7" t="s">
        <v>7</v>
      </c>
      <c r="B29" s="7" t="s">
        <v>342</v>
      </c>
      <c r="C29" s="7" t="s">
        <v>141</v>
      </c>
      <c r="D29" s="46" t="s">
        <v>0</v>
      </c>
      <c r="E29" s="42">
        <v>300860</v>
      </c>
    </row>
    <row r="30" spans="1:5" s="38" customFormat="1" ht="22.5" customHeight="1" x14ac:dyDescent="0.25">
      <c r="A30" s="18" t="s">
        <v>47</v>
      </c>
      <c r="B30" s="18"/>
      <c r="C30" s="18"/>
      <c r="D30" s="18"/>
      <c r="E30" s="42">
        <f>E22+E20+E18+E16+E14+E12+E9+E7+E4+E29+E28+E27+E26+E25+E24+E23</f>
        <v>38723795</v>
      </c>
    </row>
    <row r="31" spans="1:5" s="37" customFormat="1" ht="32.25" customHeight="1" x14ac:dyDescent="0.25">
      <c r="A31" s="10" t="s">
        <v>176</v>
      </c>
      <c r="B31" s="13" t="s">
        <v>430</v>
      </c>
      <c r="C31" s="9" t="s">
        <v>177</v>
      </c>
      <c r="D31" s="14" t="s">
        <v>0</v>
      </c>
      <c r="E31" s="43">
        <v>4500000</v>
      </c>
    </row>
    <row r="32" spans="1:5" s="37" customFormat="1" ht="22.5" customHeight="1" x14ac:dyDescent="0.25">
      <c r="A32" s="10"/>
      <c r="B32" s="13"/>
      <c r="C32" s="10"/>
      <c r="D32" s="9" t="s">
        <v>1</v>
      </c>
      <c r="E32" s="43">
        <v>1500000</v>
      </c>
    </row>
    <row r="33" spans="1:5" s="37" customFormat="1" ht="22.5" customHeight="1" x14ac:dyDescent="0.25">
      <c r="A33" s="10"/>
      <c r="B33" s="13"/>
      <c r="C33" s="10"/>
      <c r="D33" s="9" t="s">
        <v>40</v>
      </c>
      <c r="E33" s="43">
        <v>400000</v>
      </c>
    </row>
    <row r="34" spans="1:5" s="37" customFormat="1" ht="22.5" customHeight="1" x14ac:dyDescent="0.25">
      <c r="A34" s="41" t="s">
        <v>31</v>
      </c>
      <c r="B34" s="41"/>
      <c r="C34" s="41"/>
      <c r="D34" s="41"/>
      <c r="E34" s="42">
        <f>SUM(E31:E33)</f>
        <v>6400000</v>
      </c>
    </row>
    <row r="35" spans="1:5" s="37" customFormat="1" ht="28.5" customHeight="1" x14ac:dyDescent="0.25">
      <c r="A35" s="9" t="s">
        <v>178</v>
      </c>
      <c r="B35" s="9" t="s">
        <v>431</v>
      </c>
      <c r="C35" s="9" t="s">
        <v>179</v>
      </c>
      <c r="D35" s="14" t="s">
        <v>0</v>
      </c>
      <c r="E35" s="40">
        <v>3000000</v>
      </c>
    </row>
    <row r="36" spans="1:5" s="37" customFormat="1" ht="22.5" customHeight="1" x14ac:dyDescent="0.25">
      <c r="A36" s="9"/>
      <c r="B36" s="9"/>
      <c r="C36" s="9"/>
      <c r="D36" s="9" t="s">
        <v>1</v>
      </c>
      <c r="E36" s="40">
        <v>2500000</v>
      </c>
    </row>
    <row r="37" spans="1:5" s="37" customFormat="1" ht="25.5" customHeight="1" x14ac:dyDescent="0.25">
      <c r="A37" s="9"/>
      <c r="B37" s="9"/>
      <c r="C37" s="9"/>
      <c r="D37" s="9" t="s">
        <v>40</v>
      </c>
      <c r="E37" s="40">
        <v>1200000</v>
      </c>
    </row>
    <row r="38" spans="1:5" s="37" customFormat="1" ht="22.5" customHeight="1" x14ac:dyDescent="0.25">
      <c r="A38" s="41" t="s">
        <v>31</v>
      </c>
      <c r="B38" s="6"/>
      <c r="C38" s="6"/>
      <c r="D38" s="6"/>
      <c r="E38" s="42">
        <f>SUM(E35:E37)</f>
        <v>6700000</v>
      </c>
    </row>
    <row r="39" spans="1:5" s="37" customFormat="1" ht="34.5" customHeight="1" x14ac:dyDescent="0.25">
      <c r="A39" s="9" t="s">
        <v>178</v>
      </c>
      <c r="B39" s="9" t="s">
        <v>432</v>
      </c>
      <c r="C39" s="9" t="s">
        <v>180</v>
      </c>
      <c r="D39" s="14" t="s">
        <v>0</v>
      </c>
      <c r="E39" s="40">
        <v>3000000</v>
      </c>
    </row>
    <row r="40" spans="1:5" s="37" customFormat="1" ht="22.5" customHeight="1" x14ac:dyDescent="0.25">
      <c r="A40" s="10"/>
      <c r="B40" s="10"/>
      <c r="C40" s="10"/>
      <c r="D40" s="10" t="s">
        <v>153</v>
      </c>
      <c r="E40" s="40">
        <v>800000</v>
      </c>
    </row>
    <row r="41" spans="1:5" s="37" customFormat="1" ht="22.5" customHeight="1" x14ac:dyDescent="0.25">
      <c r="A41" s="41" t="s">
        <v>31</v>
      </c>
      <c r="B41" s="6"/>
      <c r="C41" s="6"/>
      <c r="D41" s="6"/>
      <c r="E41" s="42">
        <f>SUM(E39:E40)</f>
        <v>3800000</v>
      </c>
    </row>
    <row r="42" spans="1:5" s="37" customFormat="1" ht="34.5" customHeight="1" x14ac:dyDescent="0.25">
      <c r="A42" s="10" t="s">
        <v>9</v>
      </c>
      <c r="B42" s="9" t="s">
        <v>433</v>
      </c>
      <c r="C42" s="9" t="s">
        <v>181</v>
      </c>
      <c r="D42" s="14" t="s">
        <v>0</v>
      </c>
      <c r="E42" s="43">
        <v>3000000</v>
      </c>
    </row>
    <row r="43" spans="1:5" s="37" customFormat="1" ht="28.5" customHeight="1" x14ac:dyDescent="0.25">
      <c r="A43" s="8"/>
      <c r="B43" s="8"/>
      <c r="C43" s="9"/>
      <c r="D43" s="9" t="s">
        <v>1</v>
      </c>
      <c r="E43" s="43">
        <v>2000000</v>
      </c>
    </row>
    <row r="44" spans="1:5" s="37" customFormat="1" ht="22.5" customHeight="1" x14ac:dyDescent="0.25">
      <c r="A44" s="13"/>
      <c r="B44" s="13"/>
      <c r="C44" s="10"/>
      <c r="D44" s="10" t="s">
        <v>153</v>
      </c>
      <c r="E44" s="40">
        <v>500000</v>
      </c>
    </row>
    <row r="45" spans="1:5" s="37" customFormat="1" ht="22.5" customHeight="1" x14ac:dyDescent="0.25">
      <c r="A45" s="41" t="s">
        <v>31</v>
      </c>
      <c r="B45" s="6"/>
      <c r="C45" s="6"/>
      <c r="D45" s="6"/>
      <c r="E45" s="42">
        <f>SUM(E42:E44)</f>
        <v>5500000</v>
      </c>
    </row>
    <row r="46" spans="1:5" s="37" customFormat="1" ht="31.5" customHeight="1" x14ac:dyDescent="0.25">
      <c r="A46" s="9" t="s">
        <v>182</v>
      </c>
      <c r="B46" s="9" t="s">
        <v>434</v>
      </c>
      <c r="C46" s="9" t="s">
        <v>183</v>
      </c>
      <c r="D46" s="14" t="s">
        <v>0</v>
      </c>
      <c r="E46" s="40">
        <v>3000000</v>
      </c>
    </row>
    <row r="47" spans="1:5" s="37" customFormat="1" ht="22.5" customHeight="1" x14ac:dyDescent="0.25">
      <c r="A47" s="9"/>
      <c r="B47" s="9"/>
      <c r="C47" s="9"/>
      <c r="D47" s="9" t="s">
        <v>1</v>
      </c>
      <c r="E47" s="40">
        <v>2500000</v>
      </c>
    </row>
    <row r="48" spans="1:5" s="37" customFormat="1" ht="22.5" customHeight="1" x14ac:dyDescent="0.25">
      <c r="A48" s="9"/>
      <c r="B48" s="9"/>
      <c r="C48" s="9"/>
      <c r="D48" s="9" t="s">
        <v>40</v>
      </c>
      <c r="E48" s="40">
        <v>800000</v>
      </c>
    </row>
    <row r="49" spans="1:5" s="37" customFormat="1" ht="22.5" customHeight="1" x14ac:dyDescent="0.25">
      <c r="A49" s="41" t="s">
        <v>31</v>
      </c>
      <c r="B49" s="6"/>
      <c r="C49" s="6"/>
      <c r="D49" s="6"/>
      <c r="E49" s="42">
        <f>SUM(E46:E48)</f>
        <v>6300000</v>
      </c>
    </row>
    <row r="50" spans="1:5" s="37" customFormat="1" ht="22.5" customHeight="1" x14ac:dyDescent="0.25">
      <c r="A50" s="10" t="s">
        <v>11</v>
      </c>
      <c r="B50" s="13" t="s">
        <v>343</v>
      </c>
      <c r="C50" s="10" t="s">
        <v>68</v>
      </c>
      <c r="D50" s="14" t="s">
        <v>0</v>
      </c>
      <c r="E50" s="47">
        <f>199999.5+180729.5+167508.5+194421+177590.5+119034+169083+167579.5+186050</f>
        <v>1561995.5</v>
      </c>
    </row>
    <row r="51" spans="1:5" s="37" customFormat="1" ht="22.5" customHeight="1" x14ac:dyDescent="0.25">
      <c r="A51" s="10"/>
      <c r="B51" s="13"/>
      <c r="C51" s="10"/>
      <c r="D51" s="9" t="s">
        <v>1</v>
      </c>
      <c r="E51" s="47">
        <v>450490</v>
      </c>
    </row>
    <row r="52" spans="1:5" s="37" customFormat="1" ht="22.5" customHeight="1" x14ac:dyDescent="0.25">
      <c r="A52" s="10"/>
      <c r="B52" s="13"/>
      <c r="C52" s="10"/>
      <c r="D52" s="9" t="s">
        <v>2</v>
      </c>
      <c r="E52" s="47">
        <v>25495</v>
      </c>
    </row>
    <row r="53" spans="1:5" s="37" customFormat="1" ht="22.5" customHeight="1" x14ac:dyDescent="0.25">
      <c r="A53" s="41" t="s">
        <v>31</v>
      </c>
      <c r="B53" s="41"/>
      <c r="C53" s="41"/>
      <c r="D53" s="41"/>
      <c r="E53" s="42">
        <f>E52+E51+E50</f>
        <v>2037980.5</v>
      </c>
    </row>
    <row r="54" spans="1:5" s="37" customFormat="1" ht="22.5" customHeight="1" x14ac:dyDescent="0.25">
      <c r="A54" s="9" t="s">
        <v>9</v>
      </c>
      <c r="B54" s="9" t="s">
        <v>344</v>
      </c>
      <c r="C54" s="9" t="s">
        <v>115</v>
      </c>
      <c r="D54" s="14" t="s">
        <v>0</v>
      </c>
      <c r="E54" s="44">
        <v>1284888</v>
      </c>
    </row>
    <row r="55" spans="1:5" s="37" customFormat="1" ht="22.5" customHeight="1" x14ac:dyDescent="0.25">
      <c r="A55" s="41" t="s">
        <v>31</v>
      </c>
      <c r="B55" s="6"/>
      <c r="C55" s="6"/>
      <c r="D55" s="6"/>
      <c r="E55" s="42">
        <f>E54</f>
        <v>1284888</v>
      </c>
    </row>
    <row r="56" spans="1:5" s="37" customFormat="1" ht="22.5" customHeight="1" x14ac:dyDescent="0.25">
      <c r="A56" s="9" t="s">
        <v>69</v>
      </c>
      <c r="B56" s="9" t="s">
        <v>345</v>
      </c>
      <c r="C56" s="9" t="s">
        <v>70</v>
      </c>
      <c r="D56" s="9" t="s">
        <v>0</v>
      </c>
      <c r="E56" s="47">
        <f>189689.5+170213+187406+182623.5+185713.5+186470.5+189516+197210.5+175901.5+177211.5+144787+119682.5+196377+195087.5+162760+135027.5</f>
        <v>2795677</v>
      </c>
    </row>
    <row r="57" spans="1:5" s="37" customFormat="1" ht="22.5" customHeight="1" x14ac:dyDescent="0.25">
      <c r="A57" s="9"/>
      <c r="B57" s="9"/>
      <c r="C57" s="9"/>
      <c r="D57" s="9" t="s">
        <v>2</v>
      </c>
      <c r="E57" s="47">
        <v>360000</v>
      </c>
    </row>
    <row r="58" spans="1:5" s="37" customFormat="1" ht="22.5" customHeight="1" x14ac:dyDescent="0.25">
      <c r="A58" s="41" t="s">
        <v>31</v>
      </c>
      <c r="B58" s="6"/>
      <c r="C58" s="6"/>
      <c r="D58" s="6"/>
      <c r="E58" s="42">
        <f>SUM(E56:E57)</f>
        <v>3155677</v>
      </c>
    </row>
    <row r="59" spans="1:5" s="37" customFormat="1" ht="22.5" customHeight="1" x14ac:dyDescent="0.25">
      <c r="A59" s="10" t="s">
        <v>7</v>
      </c>
      <c r="B59" s="9" t="s">
        <v>346</v>
      </c>
      <c r="C59" s="9" t="s">
        <v>71</v>
      </c>
      <c r="D59" s="9" t="s">
        <v>72</v>
      </c>
      <c r="E59" s="47">
        <f>1401326.5-225000</f>
        <v>1176326.5</v>
      </c>
    </row>
    <row r="60" spans="1:5" s="37" customFormat="1" ht="22.5" customHeight="1" x14ac:dyDescent="0.25">
      <c r="A60" s="8"/>
      <c r="B60" s="8"/>
      <c r="C60" s="9"/>
      <c r="D60" s="9" t="s">
        <v>2</v>
      </c>
      <c r="E60" s="47">
        <v>225000</v>
      </c>
    </row>
    <row r="61" spans="1:5" s="37" customFormat="1" ht="22.5" customHeight="1" x14ac:dyDescent="0.25">
      <c r="A61" s="41" t="s">
        <v>31</v>
      </c>
      <c r="B61" s="6"/>
      <c r="C61" s="6"/>
      <c r="D61" s="6"/>
      <c r="E61" s="42">
        <f>SUM(E59:E60)</f>
        <v>1401326.5</v>
      </c>
    </row>
    <row r="62" spans="1:5" s="37" customFormat="1" ht="22.5" customHeight="1" x14ac:dyDescent="0.25">
      <c r="A62" s="9" t="s">
        <v>9</v>
      </c>
      <c r="B62" s="9" t="s">
        <v>347</v>
      </c>
      <c r="C62" s="9" t="s">
        <v>73</v>
      </c>
      <c r="D62" s="9" t="s">
        <v>72</v>
      </c>
      <c r="E62" s="47">
        <f>1158500-96000</f>
        <v>1062500</v>
      </c>
    </row>
    <row r="63" spans="1:5" s="37" customFormat="1" ht="22.5" customHeight="1" x14ac:dyDescent="0.25">
      <c r="A63" s="9"/>
      <c r="B63" s="9"/>
      <c r="C63" s="9"/>
      <c r="D63" s="9" t="s">
        <v>2</v>
      </c>
      <c r="E63" s="47">
        <v>96000</v>
      </c>
    </row>
    <row r="64" spans="1:5" s="37" customFormat="1" ht="22.5" customHeight="1" x14ac:dyDescent="0.25">
      <c r="A64" s="41" t="s">
        <v>31</v>
      </c>
      <c r="B64" s="6"/>
      <c r="C64" s="6"/>
      <c r="D64" s="6"/>
      <c r="E64" s="42">
        <f>E63+E62</f>
        <v>1158500</v>
      </c>
    </row>
    <row r="65" spans="1:5" s="37" customFormat="1" ht="22.5" customHeight="1" x14ac:dyDescent="0.25">
      <c r="A65" s="9" t="s">
        <v>69</v>
      </c>
      <c r="B65" s="9" t="s">
        <v>348</v>
      </c>
      <c r="C65" s="9" t="s">
        <v>74</v>
      </c>
      <c r="D65" s="14" t="s">
        <v>0</v>
      </c>
      <c r="E65" s="47">
        <f>180036+186335.5+193577.5+168297.5+176636.5+189245.5+169235+199105+178447.5+176119.5+194450+195096+175441+168263.5+198889.5+137720</f>
        <v>2886895.5</v>
      </c>
    </row>
    <row r="66" spans="1:5" s="37" customFormat="1" ht="22.5" customHeight="1" x14ac:dyDescent="0.25">
      <c r="A66" s="9"/>
      <c r="B66" s="9"/>
      <c r="C66" s="9"/>
      <c r="D66" s="9" t="s">
        <v>2</v>
      </c>
      <c r="E66" s="47">
        <v>270000</v>
      </c>
    </row>
    <row r="67" spans="1:5" s="37" customFormat="1" ht="22.5" customHeight="1" x14ac:dyDescent="0.25">
      <c r="A67" s="41" t="s">
        <v>31</v>
      </c>
      <c r="B67" s="6"/>
      <c r="C67" s="6"/>
      <c r="D67" s="6"/>
      <c r="E67" s="42">
        <f>SUM(E65:E66)</f>
        <v>3156895.5</v>
      </c>
    </row>
    <row r="68" spans="1:5" s="37" customFormat="1" ht="22.5" customHeight="1" x14ac:dyDescent="0.25">
      <c r="A68" s="9" t="s">
        <v>11</v>
      </c>
      <c r="B68" s="9" t="s">
        <v>349</v>
      </c>
      <c r="C68" s="9" t="s">
        <v>75</v>
      </c>
      <c r="D68" s="9" t="s">
        <v>72</v>
      </c>
      <c r="E68" s="44">
        <f>1826154-929990-270000</f>
        <v>626164</v>
      </c>
    </row>
    <row r="69" spans="1:5" s="37" customFormat="1" ht="22.5" customHeight="1" x14ac:dyDescent="0.25">
      <c r="A69" s="9"/>
      <c r="B69" s="9"/>
      <c r="C69" s="9"/>
      <c r="D69" s="14" t="s">
        <v>1</v>
      </c>
      <c r="E69" s="44">
        <f>232490+197500+218000+109858+172142</f>
        <v>929990</v>
      </c>
    </row>
    <row r="70" spans="1:5" s="37" customFormat="1" ht="22.5" customHeight="1" x14ac:dyDescent="0.25">
      <c r="A70" s="9"/>
      <c r="B70" s="9"/>
      <c r="C70" s="9"/>
      <c r="D70" s="9" t="s">
        <v>2</v>
      </c>
      <c r="E70" s="44">
        <v>270000</v>
      </c>
    </row>
    <row r="71" spans="1:5" s="37" customFormat="1" ht="22.5" customHeight="1" x14ac:dyDescent="0.25">
      <c r="A71" s="41" t="s">
        <v>31</v>
      </c>
      <c r="B71" s="6"/>
      <c r="C71" s="6"/>
      <c r="D71" s="6"/>
      <c r="E71" s="42">
        <f>SUM(E68:E70)</f>
        <v>1826154</v>
      </c>
    </row>
    <row r="72" spans="1:5" s="37" customFormat="1" ht="22.5" customHeight="1" x14ac:dyDescent="0.25">
      <c r="A72" s="9" t="s">
        <v>8</v>
      </c>
      <c r="B72" s="9" t="s">
        <v>350</v>
      </c>
      <c r="C72" s="9" t="s">
        <v>119</v>
      </c>
      <c r="D72" s="9" t="s">
        <v>0</v>
      </c>
      <c r="E72" s="44">
        <f>70975+75115.5+57481+43348</f>
        <v>246919.5</v>
      </c>
    </row>
    <row r="73" spans="1:5" s="37" customFormat="1" ht="22.5" customHeight="1" x14ac:dyDescent="0.25">
      <c r="A73" s="9"/>
      <c r="B73" s="9"/>
      <c r="C73" s="9"/>
      <c r="D73" s="14" t="s">
        <v>1</v>
      </c>
      <c r="E73" s="44">
        <f>119456+104927+134049+199159</f>
        <v>557591</v>
      </c>
    </row>
    <row r="74" spans="1:5" s="37" customFormat="1" ht="22.5" customHeight="1" x14ac:dyDescent="0.25">
      <c r="A74" s="9"/>
      <c r="B74" s="9"/>
      <c r="C74" s="9"/>
      <c r="D74" s="9" t="s">
        <v>40</v>
      </c>
      <c r="E74" s="44">
        <v>83867</v>
      </c>
    </row>
    <row r="75" spans="1:5" s="37" customFormat="1" ht="22.5" customHeight="1" x14ac:dyDescent="0.25">
      <c r="A75" s="41" t="s">
        <v>31</v>
      </c>
      <c r="B75" s="6"/>
      <c r="C75" s="6"/>
      <c r="D75" s="6"/>
      <c r="E75" s="42">
        <f>E74+E73+E72</f>
        <v>888377.5</v>
      </c>
    </row>
    <row r="76" spans="1:5" s="37" customFormat="1" ht="22.5" customHeight="1" x14ac:dyDescent="0.25">
      <c r="A76" s="9" t="s">
        <v>10</v>
      </c>
      <c r="B76" s="9" t="s">
        <v>351</v>
      </c>
      <c r="C76" s="9" t="s">
        <v>139</v>
      </c>
      <c r="D76" s="14" t="s">
        <v>0</v>
      </c>
      <c r="E76" s="47">
        <f>3515730.5-315000</f>
        <v>3200730.5</v>
      </c>
    </row>
    <row r="77" spans="1:5" s="37" customFormat="1" ht="22.5" customHeight="1" x14ac:dyDescent="0.25">
      <c r="A77" s="9"/>
      <c r="B77" s="9"/>
      <c r="C77" s="9"/>
      <c r="D77" s="9" t="s">
        <v>2</v>
      </c>
      <c r="E77" s="47">
        <v>315000</v>
      </c>
    </row>
    <row r="78" spans="1:5" s="37" customFormat="1" ht="22.5" customHeight="1" x14ac:dyDescent="0.25">
      <c r="A78" s="41" t="s">
        <v>31</v>
      </c>
      <c r="B78" s="6"/>
      <c r="C78" s="6"/>
      <c r="D78" s="6"/>
      <c r="E78" s="42">
        <f>E77+E76</f>
        <v>3515730.5</v>
      </c>
    </row>
    <row r="79" spans="1:5" s="37" customFormat="1" ht="22.5" customHeight="1" x14ac:dyDescent="0.25">
      <c r="A79" s="28" t="s">
        <v>11</v>
      </c>
      <c r="B79" s="28">
        <v>43049</v>
      </c>
      <c r="C79" s="28" t="s">
        <v>49</v>
      </c>
      <c r="D79" s="48" t="s">
        <v>0</v>
      </c>
      <c r="E79" s="47">
        <v>495482</v>
      </c>
    </row>
    <row r="80" spans="1:5" s="37" customFormat="1" ht="22.5" customHeight="1" x14ac:dyDescent="0.25">
      <c r="A80" s="41" t="s">
        <v>31</v>
      </c>
      <c r="B80" s="6"/>
      <c r="C80" s="6"/>
      <c r="D80" s="6"/>
      <c r="E80" s="42">
        <f>E79</f>
        <v>495482</v>
      </c>
    </row>
    <row r="81" spans="1:5" s="38" customFormat="1" ht="22.5" customHeight="1" x14ac:dyDescent="0.25">
      <c r="A81" s="18" t="s">
        <v>47</v>
      </c>
      <c r="B81" s="18"/>
      <c r="C81" s="18"/>
      <c r="D81" s="18"/>
      <c r="E81" s="42">
        <f t="shared" ref="E81" si="0">E49+E45+E41+E38+E34+E80+E78+E75+E71+E67+E64+E61+E58+E55+E53</f>
        <v>47621011.5</v>
      </c>
    </row>
    <row r="82" spans="1:5" s="37" customFormat="1" ht="22.5" customHeight="1" x14ac:dyDescent="0.25">
      <c r="A82" s="10" t="s">
        <v>191</v>
      </c>
      <c r="B82" s="10" t="s">
        <v>435</v>
      </c>
      <c r="C82" s="9" t="s">
        <v>298</v>
      </c>
      <c r="D82" s="14" t="s">
        <v>1</v>
      </c>
      <c r="E82" s="49">
        <v>2500000</v>
      </c>
    </row>
    <row r="83" spans="1:5" s="37" customFormat="1" ht="29.25" customHeight="1" x14ac:dyDescent="0.25">
      <c r="A83" s="10"/>
      <c r="B83" s="10"/>
      <c r="C83" s="9"/>
      <c r="D83" s="14" t="s">
        <v>40</v>
      </c>
      <c r="E83" s="49">
        <v>900000</v>
      </c>
    </row>
    <row r="84" spans="1:5" s="37" customFormat="1" ht="22.5" customHeight="1" x14ac:dyDescent="0.25">
      <c r="A84" s="10"/>
      <c r="B84" s="10"/>
      <c r="C84" s="10"/>
      <c r="D84" s="50" t="s">
        <v>153</v>
      </c>
      <c r="E84" s="51">
        <v>500000</v>
      </c>
    </row>
    <row r="85" spans="1:5" s="37" customFormat="1" ht="22.5" customHeight="1" x14ac:dyDescent="0.25">
      <c r="A85" s="41" t="s">
        <v>31</v>
      </c>
      <c r="B85" s="6"/>
      <c r="C85" s="6"/>
      <c r="D85" s="6"/>
      <c r="E85" s="42">
        <f>SUM(E82:E84)</f>
        <v>3900000</v>
      </c>
    </row>
    <row r="86" spans="1:5" s="37" customFormat="1" ht="22.5" customHeight="1" x14ac:dyDescent="0.25">
      <c r="A86" s="10" t="s">
        <v>191</v>
      </c>
      <c r="B86" s="9" t="s">
        <v>436</v>
      </c>
      <c r="C86" s="9" t="s">
        <v>299</v>
      </c>
      <c r="D86" s="14" t="s">
        <v>1</v>
      </c>
      <c r="E86" s="49">
        <v>2500000</v>
      </c>
    </row>
    <row r="87" spans="1:5" s="37" customFormat="1" ht="22.5" customHeight="1" x14ac:dyDescent="0.25">
      <c r="A87" s="10"/>
      <c r="B87" s="10"/>
      <c r="C87" s="10"/>
      <c r="D87" s="14" t="s">
        <v>40</v>
      </c>
      <c r="E87" s="49">
        <v>1200000</v>
      </c>
    </row>
    <row r="88" spans="1:5" s="37" customFormat="1" ht="22.5" customHeight="1" x14ac:dyDescent="0.25">
      <c r="A88" s="10"/>
      <c r="B88" s="10"/>
      <c r="C88" s="10"/>
      <c r="D88" s="50" t="s">
        <v>153</v>
      </c>
      <c r="E88" s="51">
        <v>500000</v>
      </c>
    </row>
    <row r="89" spans="1:5" s="37" customFormat="1" ht="22.5" customHeight="1" x14ac:dyDescent="0.25">
      <c r="A89" s="41" t="s">
        <v>31</v>
      </c>
      <c r="B89" s="6"/>
      <c r="C89" s="6"/>
      <c r="D89" s="6"/>
      <c r="E89" s="42">
        <f>SUM(E86:E88)</f>
        <v>4200000</v>
      </c>
    </row>
    <row r="90" spans="1:5" s="37" customFormat="1" ht="22.5" customHeight="1" x14ac:dyDescent="0.25">
      <c r="A90" s="10" t="s">
        <v>7</v>
      </c>
      <c r="B90" s="10" t="s">
        <v>352</v>
      </c>
      <c r="C90" s="9" t="s">
        <v>77</v>
      </c>
      <c r="D90" s="14" t="s">
        <v>0</v>
      </c>
      <c r="E90" s="44">
        <v>2698281</v>
      </c>
    </row>
    <row r="91" spans="1:5" s="37" customFormat="1" ht="22.5" customHeight="1" x14ac:dyDescent="0.25">
      <c r="A91" s="6"/>
      <c r="B91" s="6"/>
      <c r="C91" s="6"/>
      <c r="D91" s="6"/>
      <c r="E91" s="42">
        <f>SUM(E90)</f>
        <v>2698281</v>
      </c>
    </row>
    <row r="92" spans="1:5" s="37" customFormat="1" ht="22.5" customHeight="1" x14ac:dyDescent="0.25">
      <c r="A92" s="10" t="s">
        <v>7</v>
      </c>
      <c r="B92" s="9" t="s">
        <v>353</v>
      </c>
      <c r="C92" s="9" t="s">
        <v>78</v>
      </c>
      <c r="D92" s="9" t="s">
        <v>76</v>
      </c>
      <c r="E92" s="44">
        <f>4131432-135000</f>
        <v>3996432</v>
      </c>
    </row>
    <row r="93" spans="1:5" s="37" customFormat="1" ht="22.5" customHeight="1" x14ac:dyDescent="0.25">
      <c r="A93" s="10"/>
      <c r="B93" s="10"/>
      <c r="C93" s="10"/>
      <c r="D93" s="9" t="s">
        <v>2</v>
      </c>
      <c r="E93" s="44">
        <v>135000</v>
      </c>
    </row>
    <row r="94" spans="1:5" s="37" customFormat="1" ht="22.5" customHeight="1" x14ac:dyDescent="0.25">
      <c r="A94" s="6"/>
      <c r="B94" s="6"/>
      <c r="C94" s="6"/>
      <c r="D94" s="6"/>
      <c r="E94" s="42">
        <f>SUM(E92:E93)</f>
        <v>4131432</v>
      </c>
    </row>
    <row r="95" spans="1:5" s="38" customFormat="1" ht="22.5" customHeight="1" x14ac:dyDescent="0.25">
      <c r="A95" s="18" t="s">
        <v>47</v>
      </c>
      <c r="B95" s="18"/>
      <c r="C95" s="18"/>
      <c r="D95" s="18"/>
      <c r="E95" s="42">
        <f t="shared" ref="E95" si="1">E89+E85+E94+E91</f>
        <v>14929713</v>
      </c>
    </row>
    <row r="96" spans="1:5" s="37" customFormat="1" ht="22.5" customHeight="1" x14ac:dyDescent="0.25">
      <c r="A96" s="10" t="s">
        <v>28</v>
      </c>
      <c r="B96" s="10" t="s">
        <v>437</v>
      </c>
      <c r="C96" s="9" t="s">
        <v>205</v>
      </c>
      <c r="D96" s="14" t="s">
        <v>0</v>
      </c>
      <c r="E96" s="40">
        <v>5000000</v>
      </c>
    </row>
    <row r="97" spans="1:5" s="37" customFormat="1" ht="22.5" customHeight="1" x14ac:dyDescent="0.25">
      <c r="A97" s="10"/>
      <c r="B97" s="10"/>
      <c r="C97" s="9"/>
      <c r="D97" s="14" t="s">
        <v>40</v>
      </c>
      <c r="E97" s="40">
        <v>2000000</v>
      </c>
    </row>
    <row r="98" spans="1:5" s="37" customFormat="1" ht="22.5" customHeight="1" x14ac:dyDescent="0.25">
      <c r="A98" s="10"/>
      <c r="B98" s="10"/>
      <c r="C98" s="10"/>
      <c r="D98" s="50" t="s">
        <v>153</v>
      </c>
      <c r="E98" s="40">
        <v>400000</v>
      </c>
    </row>
    <row r="99" spans="1:5" s="38" customFormat="1" ht="22.5" customHeight="1" x14ac:dyDescent="0.25">
      <c r="A99" s="6" t="s">
        <v>31</v>
      </c>
      <c r="B99" s="6"/>
      <c r="C99" s="6"/>
      <c r="D99" s="6"/>
      <c r="E99" s="42">
        <f>SUM(E96:E98)</f>
        <v>7400000</v>
      </c>
    </row>
    <row r="100" spans="1:5" s="37" customFormat="1" ht="22.5" customHeight="1" x14ac:dyDescent="0.25">
      <c r="A100" s="10" t="s">
        <v>79</v>
      </c>
      <c r="B100" s="10" t="s">
        <v>354</v>
      </c>
      <c r="C100" s="9" t="s">
        <v>80</v>
      </c>
      <c r="D100" s="14" t="s">
        <v>0</v>
      </c>
      <c r="E100" s="44">
        <f>64397+63900</f>
        <v>128297</v>
      </c>
    </row>
    <row r="101" spans="1:5" s="37" customFormat="1" ht="22.5" customHeight="1" x14ac:dyDescent="0.25">
      <c r="A101" s="10"/>
      <c r="B101" s="10"/>
      <c r="C101" s="9"/>
      <c r="D101" s="14" t="s">
        <v>40</v>
      </c>
      <c r="E101" s="44">
        <v>94500</v>
      </c>
    </row>
    <row r="102" spans="1:5" s="37" customFormat="1" ht="22.5" customHeight="1" x14ac:dyDescent="0.25">
      <c r="A102" s="10"/>
      <c r="B102" s="10"/>
      <c r="C102" s="9"/>
      <c r="D102" s="9" t="s">
        <v>2</v>
      </c>
      <c r="E102" s="44">
        <f>450000+269091</f>
        <v>719091</v>
      </c>
    </row>
    <row r="103" spans="1:5" s="38" customFormat="1" ht="22.5" customHeight="1" x14ac:dyDescent="0.25">
      <c r="A103" s="6"/>
      <c r="B103" s="6"/>
      <c r="C103" s="6"/>
      <c r="D103" s="6"/>
      <c r="E103" s="42">
        <f>SUM(E100:E102)</f>
        <v>941888</v>
      </c>
    </row>
    <row r="104" spans="1:5" s="37" customFormat="1" ht="22.5" customHeight="1" x14ac:dyDescent="0.25">
      <c r="A104" s="9" t="s">
        <v>28</v>
      </c>
      <c r="B104" s="10" t="s">
        <v>355</v>
      </c>
      <c r="C104" s="9" t="s">
        <v>81</v>
      </c>
      <c r="D104" s="14" t="s">
        <v>0</v>
      </c>
      <c r="E104" s="44">
        <f>1860140-130048-318808</f>
        <v>1411284</v>
      </c>
    </row>
    <row r="105" spans="1:5" s="37" customFormat="1" ht="22.5" customHeight="1" x14ac:dyDescent="0.25">
      <c r="A105" s="9"/>
      <c r="B105" s="10"/>
      <c r="C105" s="9"/>
      <c r="D105" s="14" t="s">
        <v>40</v>
      </c>
      <c r="E105" s="44">
        <v>130048</v>
      </c>
    </row>
    <row r="106" spans="1:5" s="37" customFormat="1" ht="22.5" customHeight="1" x14ac:dyDescent="0.25">
      <c r="A106" s="9"/>
      <c r="B106" s="10"/>
      <c r="C106" s="9"/>
      <c r="D106" s="10" t="s">
        <v>2</v>
      </c>
      <c r="E106" s="44">
        <v>318808</v>
      </c>
    </row>
    <row r="107" spans="1:5" s="38" customFormat="1" ht="22.5" customHeight="1" x14ac:dyDescent="0.25">
      <c r="A107" s="6"/>
      <c r="B107" s="6"/>
      <c r="C107" s="6"/>
      <c r="D107" s="6"/>
      <c r="E107" s="42">
        <f>SUM(E104:E106)</f>
        <v>1860140</v>
      </c>
    </row>
    <row r="108" spans="1:5" s="38" customFormat="1" ht="22.5" customHeight="1" x14ac:dyDescent="0.25">
      <c r="A108" s="18" t="s">
        <v>47</v>
      </c>
      <c r="B108" s="18"/>
      <c r="C108" s="18"/>
      <c r="D108" s="18"/>
      <c r="E108" s="42">
        <f t="shared" ref="E108" si="2">E99+E107+E103</f>
        <v>10202028</v>
      </c>
    </row>
    <row r="109" spans="1:5" s="37" customFormat="1" ht="22.5" customHeight="1" x14ac:dyDescent="0.25">
      <c r="A109" s="9" t="s">
        <v>12</v>
      </c>
      <c r="B109" s="9" t="s">
        <v>438</v>
      </c>
      <c r="C109" s="9" t="s">
        <v>271</v>
      </c>
      <c r="D109" s="14" t="s">
        <v>0</v>
      </c>
      <c r="E109" s="43">
        <v>800000</v>
      </c>
    </row>
    <row r="110" spans="1:5" s="37" customFormat="1" ht="22.5" customHeight="1" x14ac:dyDescent="0.25">
      <c r="A110" s="9"/>
      <c r="B110" s="9"/>
      <c r="C110" s="9"/>
      <c r="D110" s="12" t="s">
        <v>1</v>
      </c>
      <c r="E110" s="43">
        <v>1500000</v>
      </c>
    </row>
    <row r="111" spans="1:5" s="37" customFormat="1" ht="22.5" customHeight="1" x14ac:dyDescent="0.25">
      <c r="A111" s="9"/>
      <c r="B111" s="9"/>
      <c r="C111" s="9"/>
      <c r="D111" s="10" t="s">
        <v>40</v>
      </c>
      <c r="E111" s="43">
        <v>950000</v>
      </c>
    </row>
    <row r="112" spans="1:5" s="37" customFormat="1" ht="22.5" customHeight="1" x14ac:dyDescent="0.25">
      <c r="A112" s="6" t="s">
        <v>31</v>
      </c>
      <c r="B112" s="6"/>
      <c r="C112" s="6"/>
      <c r="D112" s="6"/>
      <c r="E112" s="42">
        <f>SUM(E109:E111)</f>
        <v>3250000</v>
      </c>
    </row>
    <row r="113" spans="1:5" s="37" customFormat="1" ht="22.5" customHeight="1" x14ac:dyDescent="0.2">
      <c r="A113" s="9" t="s">
        <v>12</v>
      </c>
      <c r="B113" s="29" t="s">
        <v>439</v>
      </c>
      <c r="C113" s="29" t="s">
        <v>334</v>
      </c>
      <c r="D113" s="14" t="s">
        <v>0</v>
      </c>
      <c r="E113" s="52">
        <v>800000</v>
      </c>
    </row>
    <row r="114" spans="1:5" s="37" customFormat="1" ht="22.5" customHeight="1" x14ac:dyDescent="0.2">
      <c r="A114" s="29"/>
      <c r="B114" s="29"/>
      <c r="C114" s="29"/>
      <c r="D114" s="12" t="s">
        <v>1</v>
      </c>
      <c r="E114" s="52">
        <v>1500000</v>
      </c>
    </row>
    <row r="115" spans="1:5" s="37" customFormat="1" ht="22.5" customHeight="1" x14ac:dyDescent="0.2">
      <c r="A115" s="29"/>
      <c r="B115" s="29"/>
      <c r="C115" s="29"/>
      <c r="D115" s="10" t="s">
        <v>40</v>
      </c>
      <c r="E115" s="52">
        <v>700000</v>
      </c>
    </row>
    <row r="116" spans="1:5" s="37" customFormat="1" ht="22.5" customHeight="1" x14ac:dyDescent="0.15">
      <c r="A116" s="6" t="s">
        <v>31</v>
      </c>
      <c r="B116" s="6"/>
      <c r="C116" s="6"/>
      <c r="D116" s="6"/>
      <c r="E116" s="53">
        <f>SUM(E113:E115)</f>
        <v>3000000</v>
      </c>
    </row>
    <row r="117" spans="1:5" s="37" customFormat="1" ht="22.5" customHeight="1" x14ac:dyDescent="0.2">
      <c r="A117" s="29" t="s">
        <v>272</v>
      </c>
      <c r="B117" s="29" t="s">
        <v>440</v>
      </c>
      <c r="C117" s="29" t="s">
        <v>335</v>
      </c>
      <c r="D117" s="10" t="s">
        <v>40</v>
      </c>
      <c r="E117" s="52">
        <v>900000</v>
      </c>
    </row>
    <row r="118" spans="1:5" s="37" customFormat="1" ht="22.5" customHeight="1" x14ac:dyDescent="0.15">
      <c r="A118" s="6" t="s">
        <v>31</v>
      </c>
      <c r="B118" s="6"/>
      <c r="C118" s="6"/>
      <c r="D118" s="6"/>
      <c r="E118" s="53">
        <f>SUM(E117:E117)</f>
        <v>900000</v>
      </c>
    </row>
    <row r="119" spans="1:5" s="37" customFormat="1" ht="22.5" customHeight="1" x14ac:dyDescent="0.2">
      <c r="A119" s="29" t="s">
        <v>272</v>
      </c>
      <c r="B119" s="29" t="s">
        <v>441</v>
      </c>
      <c r="C119" s="29" t="s">
        <v>273</v>
      </c>
      <c r="D119" s="14" t="s">
        <v>0</v>
      </c>
      <c r="E119" s="52">
        <v>700000</v>
      </c>
    </row>
    <row r="120" spans="1:5" s="37" customFormat="1" ht="22.5" customHeight="1" x14ac:dyDescent="0.2">
      <c r="A120" s="29"/>
      <c r="B120" s="29"/>
      <c r="C120" s="29"/>
      <c r="D120" s="10" t="s">
        <v>40</v>
      </c>
      <c r="E120" s="52">
        <v>1200000</v>
      </c>
    </row>
    <row r="121" spans="1:5" s="37" customFormat="1" ht="22.5" customHeight="1" x14ac:dyDescent="0.15">
      <c r="A121" s="6" t="s">
        <v>31</v>
      </c>
      <c r="B121" s="6"/>
      <c r="C121" s="6"/>
      <c r="D121" s="6"/>
      <c r="E121" s="53">
        <f>SUM(E119:E120)</f>
        <v>1900000</v>
      </c>
    </row>
    <row r="122" spans="1:5" s="37" customFormat="1" ht="22.5" customHeight="1" x14ac:dyDescent="0.25">
      <c r="A122" s="9" t="s">
        <v>12</v>
      </c>
      <c r="B122" s="9" t="s">
        <v>356</v>
      </c>
      <c r="C122" s="9" t="s">
        <v>82</v>
      </c>
      <c r="D122" s="14" t="s">
        <v>0</v>
      </c>
      <c r="E122" s="44">
        <f>346123+347221+343308</f>
        <v>1036652</v>
      </c>
    </row>
    <row r="123" spans="1:5" s="37" customFormat="1" ht="22.5" customHeight="1" x14ac:dyDescent="0.25">
      <c r="A123" s="9"/>
      <c r="B123" s="9"/>
      <c r="C123" s="9"/>
      <c r="D123" s="12" t="s">
        <v>40</v>
      </c>
      <c r="E123" s="44">
        <f>71608+63879+81174+70230+73960+74737+71287</f>
        <v>506875</v>
      </c>
    </row>
    <row r="124" spans="1:5" s="37" customFormat="1" ht="22.5" customHeight="1" x14ac:dyDescent="0.25">
      <c r="A124" s="9"/>
      <c r="B124" s="9"/>
      <c r="C124" s="9"/>
      <c r="D124" s="10" t="s">
        <v>1</v>
      </c>
      <c r="E124" s="44">
        <f>382501+375647+366974</f>
        <v>1125122</v>
      </c>
    </row>
    <row r="125" spans="1:5" s="37" customFormat="1" ht="22.5" customHeight="1" x14ac:dyDescent="0.25">
      <c r="A125" s="6"/>
      <c r="B125" s="6"/>
      <c r="C125" s="6"/>
      <c r="D125" s="6"/>
      <c r="E125" s="42">
        <f>SUM(E122:E124)</f>
        <v>2668649</v>
      </c>
    </row>
    <row r="126" spans="1:5" s="38" customFormat="1" ht="22.5" customHeight="1" x14ac:dyDescent="0.25">
      <c r="A126" s="18" t="s">
        <v>47</v>
      </c>
      <c r="B126" s="18"/>
      <c r="C126" s="18"/>
      <c r="D126" s="18"/>
      <c r="E126" s="42">
        <f t="shared" ref="E126" si="3">E121+E118+E116+E112+E125</f>
        <v>11718649</v>
      </c>
    </row>
    <row r="127" spans="1:5" s="37" customFormat="1" ht="22.5" customHeight="1" x14ac:dyDescent="0.2">
      <c r="A127" s="29" t="s">
        <v>216</v>
      </c>
      <c r="B127" s="29" t="s">
        <v>442</v>
      </c>
      <c r="C127" s="29" t="s">
        <v>217</v>
      </c>
      <c r="D127" s="48" t="s">
        <v>305</v>
      </c>
      <c r="E127" s="52">
        <v>3800000</v>
      </c>
    </row>
    <row r="128" spans="1:5" s="37" customFormat="1" ht="22.5" customHeight="1" x14ac:dyDescent="0.15">
      <c r="A128" s="6" t="s">
        <v>31</v>
      </c>
      <c r="B128" s="6"/>
      <c r="C128" s="6"/>
      <c r="D128" s="6"/>
      <c r="E128" s="53">
        <f>SUM(E127)</f>
        <v>3800000</v>
      </c>
    </row>
    <row r="129" spans="1:5" s="37" customFormat="1" ht="28.5" customHeight="1" x14ac:dyDescent="0.2">
      <c r="A129" s="29" t="s">
        <v>216</v>
      </c>
      <c r="B129" s="29" t="s">
        <v>443</v>
      </c>
      <c r="C129" s="29" t="s">
        <v>218</v>
      </c>
      <c r="D129" s="48" t="s">
        <v>40</v>
      </c>
      <c r="E129" s="52">
        <v>2400000</v>
      </c>
    </row>
    <row r="130" spans="1:5" s="37" customFormat="1" ht="22.5" customHeight="1" x14ac:dyDescent="0.15">
      <c r="A130" s="6" t="s">
        <v>31</v>
      </c>
      <c r="B130" s="6"/>
      <c r="C130" s="6"/>
      <c r="D130" s="6"/>
      <c r="E130" s="53">
        <f>SUM(E129)</f>
        <v>2400000</v>
      </c>
    </row>
    <row r="131" spans="1:5" s="37" customFormat="1" ht="22.5" customHeight="1" x14ac:dyDescent="0.2">
      <c r="A131" s="29" t="s">
        <v>219</v>
      </c>
      <c r="B131" s="29" t="s">
        <v>444</v>
      </c>
      <c r="C131" s="29" t="s">
        <v>309</v>
      </c>
      <c r="D131" s="48" t="s">
        <v>305</v>
      </c>
      <c r="E131" s="52">
        <v>5000000</v>
      </c>
    </row>
    <row r="132" spans="1:5" s="37" customFormat="1" ht="22.5" customHeight="1" x14ac:dyDescent="0.15">
      <c r="A132" s="6" t="s">
        <v>31</v>
      </c>
      <c r="B132" s="6"/>
      <c r="C132" s="6"/>
      <c r="D132" s="6"/>
      <c r="E132" s="53">
        <f>SUM(E131)</f>
        <v>5000000</v>
      </c>
    </row>
    <row r="133" spans="1:5" s="37" customFormat="1" ht="22.5" customHeight="1" x14ac:dyDescent="0.2">
      <c r="A133" s="29" t="s">
        <v>220</v>
      </c>
      <c r="B133" s="29" t="s">
        <v>445</v>
      </c>
      <c r="C133" s="29" t="s">
        <v>310</v>
      </c>
      <c r="D133" s="48" t="s">
        <v>40</v>
      </c>
      <c r="E133" s="52">
        <v>600000</v>
      </c>
    </row>
    <row r="134" spans="1:5" s="37" customFormat="1" ht="22.5" customHeight="1" x14ac:dyDescent="0.2">
      <c r="A134" s="30"/>
      <c r="B134" s="30"/>
      <c r="C134" s="30"/>
      <c r="D134" s="54" t="s">
        <v>153</v>
      </c>
      <c r="E134" s="55">
        <v>200000</v>
      </c>
    </row>
    <row r="135" spans="1:5" s="37" customFormat="1" ht="22.5" customHeight="1" x14ac:dyDescent="0.15">
      <c r="A135" s="6" t="s">
        <v>31</v>
      </c>
      <c r="B135" s="6"/>
      <c r="C135" s="6"/>
      <c r="D135" s="6"/>
      <c r="E135" s="53">
        <f>SUM(E133:E134)</f>
        <v>800000</v>
      </c>
    </row>
    <row r="136" spans="1:5" s="37" customFormat="1" ht="22.5" customHeight="1" x14ac:dyDescent="0.25">
      <c r="A136" s="29" t="s">
        <v>221</v>
      </c>
      <c r="B136" s="29" t="s">
        <v>446</v>
      </c>
      <c r="C136" s="11" t="s">
        <v>311</v>
      </c>
      <c r="D136" s="56" t="s">
        <v>559</v>
      </c>
      <c r="E136" s="47">
        <v>700000</v>
      </c>
    </row>
    <row r="137" spans="1:5" s="37" customFormat="1" ht="22.5" customHeight="1" x14ac:dyDescent="0.15">
      <c r="A137" s="6" t="s">
        <v>31</v>
      </c>
      <c r="B137" s="6"/>
      <c r="C137" s="6"/>
      <c r="D137" s="6"/>
      <c r="E137" s="53">
        <f>SUM(E136)</f>
        <v>700000</v>
      </c>
    </row>
    <row r="138" spans="1:5" s="37" customFormat="1" ht="22.5" customHeight="1" x14ac:dyDescent="0.2">
      <c r="A138" s="29" t="s">
        <v>221</v>
      </c>
      <c r="B138" s="29" t="s">
        <v>447</v>
      </c>
      <c r="C138" s="29" t="s">
        <v>296</v>
      </c>
      <c r="D138" s="48" t="s">
        <v>40</v>
      </c>
      <c r="E138" s="52">
        <v>1450000</v>
      </c>
    </row>
    <row r="139" spans="1:5" s="37" customFormat="1" ht="22.5" customHeight="1" x14ac:dyDescent="0.15">
      <c r="A139" s="6" t="s">
        <v>31</v>
      </c>
      <c r="B139" s="6"/>
      <c r="C139" s="6"/>
      <c r="D139" s="6"/>
      <c r="E139" s="53">
        <f>SUM(E138)</f>
        <v>1450000</v>
      </c>
    </row>
    <row r="140" spans="1:5" s="38" customFormat="1" ht="22.5" customHeight="1" x14ac:dyDescent="0.25">
      <c r="A140" s="18" t="s">
        <v>47</v>
      </c>
      <c r="B140" s="18"/>
      <c r="C140" s="18"/>
      <c r="D140" s="18"/>
      <c r="E140" s="42">
        <f t="shared" ref="E140" si="4">E139+E137+E135+E132+E130+E128</f>
        <v>14150000</v>
      </c>
    </row>
    <row r="141" spans="1:5" s="37" customFormat="1" ht="22.5" customHeight="1" x14ac:dyDescent="0.25">
      <c r="A141" s="29" t="s">
        <v>7</v>
      </c>
      <c r="B141" s="29" t="s">
        <v>448</v>
      </c>
      <c r="C141" s="29" t="s">
        <v>324</v>
      </c>
      <c r="D141" s="48" t="s">
        <v>43</v>
      </c>
      <c r="E141" s="47">
        <v>1400000</v>
      </c>
    </row>
    <row r="142" spans="1:5" s="37" customFormat="1" ht="31.5" customHeight="1" x14ac:dyDescent="0.25">
      <c r="A142" s="6" t="s">
        <v>31</v>
      </c>
      <c r="B142" s="6"/>
      <c r="C142" s="6"/>
      <c r="D142" s="6"/>
      <c r="E142" s="57">
        <f>E141</f>
        <v>1400000</v>
      </c>
    </row>
    <row r="143" spans="1:5" s="38" customFormat="1" ht="22.5" customHeight="1" x14ac:dyDescent="0.25">
      <c r="A143" s="18" t="s">
        <v>47</v>
      </c>
      <c r="B143" s="18"/>
      <c r="C143" s="18"/>
      <c r="D143" s="18"/>
      <c r="E143" s="42">
        <f>E142</f>
        <v>1400000</v>
      </c>
    </row>
    <row r="144" spans="1:5" s="37" customFormat="1" ht="27.75" customHeight="1" x14ac:dyDescent="0.25">
      <c r="A144" s="9" t="s">
        <v>7</v>
      </c>
      <c r="B144" s="9" t="s">
        <v>357</v>
      </c>
      <c r="C144" s="9" t="s">
        <v>144</v>
      </c>
      <c r="D144" s="9" t="s">
        <v>558</v>
      </c>
      <c r="E144" s="44">
        <v>3858213</v>
      </c>
    </row>
    <row r="145" spans="1:5" s="37" customFormat="1" ht="22.5" customHeight="1" x14ac:dyDescent="0.25">
      <c r="A145" s="6"/>
      <c r="B145" s="6"/>
      <c r="C145" s="6"/>
      <c r="D145" s="6"/>
      <c r="E145" s="42">
        <f>E144</f>
        <v>3858213</v>
      </c>
    </row>
    <row r="146" spans="1:5" s="37" customFormat="1" ht="22.5" customHeight="1" x14ac:dyDescent="0.25">
      <c r="A146" s="9" t="s">
        <v>274</v>
      </c>
      <c r="B146" s="9" t="s">
        <v>449</v>
      </c>
      <c r="C146" s="9" t="s">
        <v>275</v>
      </c>
      <c r="D146" s="32" t="s">
        <v>1</v>
      </c>
      <c r="E146" s="58">
        <v>1100000</v>
      </c>
    </row>
    <row r="147" spans="1:5" s="37" customFormat="1" ht="22.5" customHeight="1" x14ac:dyDescent="0.25">
      <c r="A147" s="28"/>
      <c r="B147" s="28"/>
      <c r="C147" s="28"/>
      <c r="D147" s="32" t="s">
        <v>40</v>
      </c>
      <c r="E147" s="58">
        <v>1000000</v>
      </c>
    </row>
    <row r="148" spans="1:5" s="37" customFormat="1" ht="22.5" customHeight="1" x14ac:dyDescent="0.25">
      <c r="A148" s="31"/>
      <c r="B148" s="31"/>
      <c r="C148" s="31"/>
      <c r="D148" s="59" t="s">
        <v>153</v>
      </c>
      <c r="E148" s="60">
        <v>950000</v>
      </c>
    </row>
    <row r="149" spans="1:5" s="37" customFormat="1" ht="22.5" customHeight="1" x14ac:dyDescent="0.25">
      <c r="A149" s="6" t="s">
        <v>31</v>
      </c>
      <c r="B149" s="6"/>
      <c r="C149" s="6"/>
      <c r="D149" s="6"/>
      <c r="E149" s="42">
        <f>SUM(E146:E148)</f>
        <v>3050000</v>
      </c>
    </row>
    <row r="150" spans="1:5" s="37" customFormat="1" ht="22.5" customHeight="1" x14ac:dyDescent="0.25">
      <c r="A150" s="9" t="s">
        <v>274</v>
      </c>
      <c r="B150" s="28" t="s">
        <v>450</v>
      </c>
      <c r="C150" s="28" t="s">
        <v>276</v>
      </c>
      <c r="D150" s="32" t="s">
        <v>1</v>
      </c>
      <c r="E150" s="58">
        <v>500000</v>
      </c>
    </row>
    <row r="151" spans="1:5" s="37" customFormat="1" ht="22.5" customHeight="1" x14ac:dyDescent="0.25">
      <c r="A151" s="28"/>
      <c r="B151" s="28"/>
      <c r="C151" s="28"/>
      <c r="D151" s="32" t="s">
        <v>40</v>
      </c>
      <c r="E151" s="58">
        <v>500000</v>
      </c>
    </row>
    <row r="152" spans="1:5" s="37" customFormat="1" ht="22.5" customHeight="1" x14ac:dyDescent="0.25">
      <c r="A152" s="31"/>
      <c r="B152" s="31"/>
      <c r="C152" s="31"/>
      <c r="D152" s="59" t="s">
        <v>153</v>
      </c>
      <c r="E152" s="60">
        <v>500000</v>
      </c>
    </row>
    <row r="153" spans="1:5" s="37" customFormat="1" ht="22.5" customHeight="1" x14ac:dyDescent="0.25">
      <c r="A153" s="6" t="s">
        <v>31</v>
      </c>
      <c r="B153" s="6"/>
      <c r="C153" s="6"/>
      <c r="D153" s="6"/>
      <c r="E153" s="42">
        <f>SUM(E150:E152)</f>
        <v>1500000</v>
      </c>
    </row>
    <row r="154" spans="1:5" s="37" customFormat="1" ht="22.5" customHeight="1" x14ac:dyDescent="0.25">
      <c r="A154" s="9" t="s">
        <v>274</v>
      </c>
      <c r="B154" s="28" t="s">
        <v>451</v>
      </c>
      <c r="C154" s="28" t="s">
        <v>312</v>
      </c>
      <c r="D154" s="32" t="s">
        <v>1</v>
      </c>
      <c r="E154" s="58">
        <v>1000000</v>
      </c>
    </row>
    <row r="155" spans="1:5" s="37" customFormat="1" ht="22.5" customHeight="1" x14ac:dyDescent="0.25">
      <c r="A155" s="28"/>
      <c r="B155" s="28"/>
      <c r="C155" s="28"/>
      <c r="D155" s="32" t="s">
        <v>40</v>
      </c>
      <c r="E155" s="58">
        <v>500000</v>
      </c>
    </row>
    <row r="156" spans="1:5" s="37" customFormat="1" ht="22.5" customHeight="1" x14ac:dyDescent="0.25">
      <c r="A156" s="31"/>
      <c r="B156" s="31"/>
      <c r="C156" s="31"/>
      <c r="D156" s="59" t="s">
        <v>153</v>
      </c>
      <c r="E156" s="60">
        <v>500000</v>
      </c>
    </row>
    <row r="157" spans="1:5" s="37" customFormat="1" ht="22.5" customHeight="1" x14ac:dyDescent="0.25">
      <c r="A157" s="6" t="s">
        <v>31</v>
      </c>
      <c r="B157" s="6"/>
      <c r="C157" s="6"/>
      <c r="D157" s="6"/>
      <c r="E157" s="42">
        <f>SUM(E154:E156)</f>
        <v>2000000</v>
      </c>
    </row>
    <row r="158" spans="1:5" s="37" customFormat="1" ht="22.5" customHeight="1" x14ac:dyDescent="0.25">
      <c r="A158" s="9" t="s">
        <v>7</v>
      </c>
      <c r="B158" s="28" t="s">
        <v>452</v>
      </c>
      <c r="C158" s="28" t="s">
        <v>277</v>
      </c>
      <c r="D158" s="32" t="s">
        <v>1</v>
      </c>
      <c r="E158" s="58">
        <v>700000</v>
      </c>
    </row>
    <row r="159" spans="1:5" s="37" customFormat="1" ht="22.5" customHeight="1" x14ac:dyDescent="0.25">
      <c r="A159" s="28"/>
      <c r="B159" s="28"/>
      <c r="C159" s="28"/>
      <c r="D159" s="32" t="s">
        <v>40</v>
      </c>
      <c r="E159" s="58">
        <v>800000</v>
      </c>
    </row>
    <row r="160" spans="1:5" s="37" customFormat="1" ht="22.5" customHeight="1" x14ac:dyDescent="0.25">
      <c r="A160" s="6" t="s">
        <v>31</v>
      </c>
      <c r="B160" s="6"/>
      <c r="C160" s="6"/>
      <c r="D160" s="6"/>
      <c r="E160" s="42">
        <f>SUM(E158:E159)</f>
        <v>1500000</v>
      </c>
    </row>
    <row r="161" spans="1:5" s="37" customFormat="1" ht="22.5" customHeight="1" x14ac:dyDescent="0.25">
      <c r="A161" s="9" t="s">
        <v>7</v>
      </c>
      <c r="B161" s="28" t="s">
        <v>453</v>
      </c>
      <c r="C161" s="28" t="s">
        <v>313</v>
      </c>
      <c r="D161" s="32" t="s">
        <v>40</v>
      </c>
      <c r="E161" s="58">
        <v>850000</v>
      </c>
    </row>
    <row r="162" spans="1:5" s="37" customFormat="1" ht="22.5" customHeight="1" x14ac:dyDescent="0.25">
      <c r="A162" s="6" t="s">
        <v>31</v>
      </c>
      <c r="B162" s="6"/>
      <c r="C162" s="6"/>
      <c r="D162" s="6"/>
      <c r="E162" s="42">
        <f>SUM(E161)</f>
        <v>850000</v>
      </c>
    </row>
    <row r="163" spans="1:5" s="37" customFormat="1" ht="22.5" customHeight="1" x14ac:dyDescent="0.25">
      <c r="A163" s="9" t="s">
        <v>7</v>
      </c>
      <c r="B163" s="28" t="s">
        <v>454</v>
      </c>
      <c r="C163" s="28" t="s">
        <v>315</v>
      </c>
      <c r="D163" s="32" t="s">
        <v>1</v>
      </c>
      <c r="E163" s="58">
        <v>300000</v>
      </c>
    </row>
    <row r="164" spans="1:5" s="37" customFormat="1" ht="22.5" customHeight="1" x14ac:dyDescent="0.25">
      <c r="A164" s="9"/>
      <c r="B164" s="28"/>
      <c r="C164" s="28"/>
      <c r="D164" s="32" t="s">
        <v>40</v>
      </c>
      <c r="E164" s="58">
        <v>500000</v>
      </c>
    </row>
    <row r="165" spans="1:5" s="37" customFormat="1" ht="22.5" customHeight="1" x14ac:dyDescent="0.25">
      <c r="A165" s="10"/>
      <c r="B165" s="31"/>
      <c r="C165" s="31"/>
      <c r="D165" s="59" t="s">
        <v>153</v>
      </c>
      <c r="E165" s="60">
        <v>400000</v>
      </c>
    </row>
    <row r="166" spans="1:5" s="37" customFormat="1" ht="22.5" customHeight="1" x14ac:dyDescent="0.25">
      <c r="A166" s="6" t="s">
        <v>31</v>
      </c>
      <c r="B166" s="6"/>
      <c r="C166" s="6"/>
      <c r="D166" s="6"/>
      <c r="E166" s="42">
        <f>SUM(E163:E165)</f>
        <v>1200000</v>
      </c>
    </row>
    <row r="167" spans="1:5" s="37" customFormat="1" ht="22.5" customHeight="1" x14ac:dyDescent="0.25">
      <c r="A167" s="9" t="s">
        <v>278</v>
      </c>
      <c r="B167" s="28" t="s">
        <v>455</v>
      </c>
      <c r="C167" s="28" t="s">
        <v>314</v>
      </c>
      <c r="D167" s="32" t="s">
        <v>40</v>
      </c>
      <c r="E167" s="58">
        <v>150000</v>
      </c>
    </row>
    <row r="168" spans="1:5" s="37" customFormat="1" ht="22.5" customHeight="1" x14ac:dyDescent="0.25">
      <c r="A168" s="6" t="s">
        <v>31</v>
      </c>
      <c r="B168" s="6"/>
      <c r="C168" s="6"/>
      <c r="D168" s="6"/>
      <c r="E168" s="42">
        <f>SUM(E167:E167)</f>
        <v>150000</v>
      </c>
    </row>
    <row r="169" spans="1:5" s="37" customFormat="1" ht="22.5" customHeight="1" x14ac:dyDescent="0.25">
      <c r="A169" s="9" t="s">
        <v>279</v>
      </c>
      <c r="B169" s="28" t="s">
        <v>456</v>
      </c>
      <c r="C169" s="28" t="s">
        <v>295</v>
      </c>
      <c r="D169" s="48" t="s">
        <v>305</v>
      </c>
      <c r="E169" s="58">
        <v>1900000</v>
      </c>
    </row>
    <row r="170" spans="1:5" s="37" customFormat="1" ht="22.5" customHeight="1" x14ac:dyDescent="0.25">
      <c r="A170" s="6" t="s">
        <v>31</v>
      </c>
      <c r="B170" s="6"/>
      <c r="C170" s="6"/>
      <c r="D170" s="6"/>
      <c r="E170" s="42">
        <f>E169</f>
        <v>1900000</v>
      </c>
    </row>
    <row r="171" spans="1:5" s="37" customFormat="1" ht="22.5" customHeight="1" x14ac:dyDescent="0.25">
      <c r="A171" s="9" t="s">
        <v>7</v>
      </c>
      <c r="B171" s="9" t="s">
        <v>357</v>
      </c>
      <c r="C171" s="9" t="s">
        <v>144</v>
      </c>
      <c r="D171" s="9" t="s">
        <v>147</v>
      </c>
      <c r="E171" s="44">
        <f>299005+305248+498248</f>
        <v>1102501</v>
      </c>
    </row>
    <row r="172" spans="1:5" s="37" customFormat="1" ht="22.5" customHeight="1" x14ac:dyDescent="0.25">
      <c r="A172" s="6"/>
      <c r="B172" s="6"/>
      <c r="C172" s="6"/>
      <c r="D172" s="6"/>
      <c r="E172" s="42">
        <f>E171</f>
        <v>1102501</v>
      </c>
    </row>
    <row r="173" spans="1:5" s="38" customFormat="1" ht="22.5" customHeight="1" x14ac:dyDescent="0.25">
      <c r="A173" s="18" t="s">
        <v>47</v>
      </c>
      <c r="B173" s="18"/>
      <c r="C173" s="18"/>
      <c r="D173" s="18"/>
      <c r="E173" s="42">
        <f>E145+E170+E168+E166+E162+E160+E157+E153+E149+E172</f>
        <v>17110714</v>
      </c>
    </row>
    <row r="174" spans="1:5" s="37" customFormat="1" ht="22.5" customHeight="1" x14ac:dyDescent="0.25">
      <c r="A174" s="9" t="s">
        <v>13</v>
      </c>
      <c r="B174" s="9" t="s">
        <v>457</v>
      </c>
      <c r="C174" s="9" t="s">
        <v>322</v>
      </c>
      <c r="D174" s="9" t="s">
        <v>1</v>
      </c>
      <c r="E174" s="49">
        <v>700000</v>
      </c>
    </row>
    <row r="175" spans="1:5" s="37" customFormat="1" ht="22.5" customHeight="1" x14ac:dyDescent="0.25">
      <c r="A175" s="9"/>
      <c r="B175" s="9"/>
      <c r="C175" s="9"/>
      <c r="D175" s="9" t="s">
        <v>40</v>
      </c>
      <c r="E175" s="49">
        <v>400000</v>
      </c>
    </row>
    <row r="176" spans="1:5" s="37" customFormat="1" ht="20.25" customHeight="1" x14ac:dyDescent="0.25">
      <c r="A176" s="6" t="s">
        <v>31</v>
      </c>
      <c r="B176" s="6"/>
      <c r="C176" s="6"/>
      <c r="D176" s="6"/>
      <c r="E176" s="42">
        <f>SUM(E174:E175)</f>
        <v>1100000</v>
      </c>
    </row>
    <row r="177" spans="1:5" s="37" customFormat="1" ht="22.5" customHeight="1" x14ac:dyDescent="0.25">
      <c r="A177" s="9" t="s">
        <v>13</v>
      </c>
      <c r="B177" s="9" t="s">
        <v>358</v>
      </c>
      <c r="C177" s="9" t="s">
        <v>83</v>
      </c>
      <c r="D177" s="9" t="s">
        <v>76</v>
      </c>
      <c r="E177" s="44">
        <f>79413+105182</f>
        <v>184595</v>
      </c>
    </row>
    <row r="178" spans="1:5" s="37" customFormat="1" ht="22.5" customHeight="1" x14ac:dyDescent="0.25">
      <c r="A178" s="9"/>
      <c r="B178" s="9"/>
      <c r="C178" s="9"/>
      <c r="D178" s="14" t="s">
        <v>40</v>
      </c>
      <c r="E178" s="44">
        <v>72553</v>
      </c>
    </row>
    <row r="179" spans="1:5" s="37" customFormat="1" ht="22.5" customHeight="1" x14ac:dyDescent="0.25">
      <c r="A179" s="9"/>
      <c r="B179" s="9"/>
      <c r="C179" s="9"/>
      <c r="D179" s="12" t="s">
        <v>2</v>
      </c>
      <c r="E179" s="44">
        <v>180273</v>
      </c>
    </row>
    <row r="180" spans="1:5" s="37" customFormat="1" ht="22.5" customHeight="1" x14ac:dyDescent="0.25">
      <c r="A180" s="6"/>
      <c r="B180" s="6"/>
      <c r="C180" s="6"/>
      <c r="D180" s="6"/>
      <c r="E180" s="42">
        <f>SUM(E177:E179)</f>
        <v>437421</v>
      </c>
    </row>
    <row r="181" spans="1:5" s="38" customFormat="1" ht="22.5" customHeight="1" x14ac:dyDescent="0.25">
      <c r="A181" s="18" t="s">
        <v>47</v>
      </c>
      <c r="B181" s="18"/>
      <c r="C181" s="18"/>
      <c r="D181" s="18"/>
      <c r="E181" s="42">
        <f t="shared" ref="E181" si="5">E176+E180</f>
        <v>1537421</v>
      </c>
    </row>
    <row r="182" spans="1:5" s="37" customFormat="1" ht="22.5" customHeight="1" x14ac:dyDescent="0.25">
      <c r="A182" s="8" t="s">
        <v>229</v>
      </c>
      <c r="B182" s="9" t="s">
        <v>360</v>
      </c>
      <c r="C182" s="9" t="s">
        <v>230</v>
      </c>
      <c r="D182" s="14" t="s">
        <v>0</v>
      </c>
      <c r="E182" s="43">
        <v>1700000</v>
      </c>
    </row>
    <row r="183" spans="1:5" s="37" customFormat="1" ht="18.75" customHeight="1" x14ac:dyDescent="0.25">
      <c r="A183" s="6" t="s">
        <v>31</v>
      </c>
      <c r="B183" s="6"/>
      <c r="C183" s="6"/>
      <c r="D183" s="6"/>
      <c r="E183" s="42">
        <f>SUM(E182)</f>
        <v>1700000</v>
      </c>
    </row>
    <row r="184" spans="1:5" s="37" customFormat="1" ht="22.5" customHeight="1" x14ac:dyDescent="0.25">
      <c r="A184" s="8" t="s">
        <v>7</v>
      </c>
      <c r="B184" s="9" t="s">
        <v>458</v>
      </c>
      <c r="C184" s="9" t="s">
        <v>231</v>
      </c>
      <c r="D184" s="14" t="s">
        <v>40</v>
      </c>
      <c r="E184" s="49">
        <v>2900000</v>
      </c>
    </row>
    <row r="185" spans="1:5" s="37" customFormat="1" ht="22.5" customHeight="1" x14ac:dyDescent="0.25">
      <c r="A185" s="6" t="s">
        <v>31</v>
      </c>
      <c r="B185" s="6"/>
      <c r="C185" s="6"/>
      <c r="D185" s="6"/>
      <c r="E185" s="42">
        <f>SUM(E184)</f>
        <v>2900000</v>
      </c>
    </row>
    <row r="186" spans="1:5" s="37" customFormat="1" ht="27" customHeight="1" x14ac:dyDescent="0.25">
      <c r="A186" s="9" t="s">
        <v>232</v>
      </c>
      <c r="B186" s="9" t="s">
        <v>459</v>
      </c>
      <c r="C186" s="9" t="s">
        <v>233</v>
      </c>
      <c r="D186" s="14" t="s">
        <v>40</v>
      </c>
      <c r="E186" s="43">
        <v>1000000</v>
      </c>
    </row>
    <row r="187" spans="1:5" s="37" customFormat="1" ht="22.5" customHeight="1" x14ac:dyDescent="0.25">
      <c r="A187" s="6" t="s">
        <v>31</v>
      </c>
      <c r="B187" s="6"/>
      <c r="C187" s="6"/>
      <c r="D187" s="6"/>
      <c r="E187" s="42">
        <f>SUM(E186)</f>
        <v>1000000</v>
      </c>
    </row>
    <row r="188" spans="1:5" s="37" customFormat="1" ht="22.5" customHeight="1" x14ac:dyDescent="0.25">
      <c r="A188" s="9" t="s">
        <v>234</v>
      </c>
      <c r="B188" s="9" t="s">
        <v>433</v>
      </c>
      <c r="C188" s="9" t="s">
        <v>235</v>
      </c>
      <c r="D188" s="14" t="s">
        <v>0</v>
      </c>
      <c r="E188" s="49">
        <v>800000</v>
      </c>
    </row>
    <row r="189" spans="1:5" s="37" customFormat="1" ht="22.5" customHeight="1" x14ac:dyDescent="0.25">
      <c r="A189" s="9"/>
      <c r="B189" s="9"/>
      <c r="C189" s="9"/>
      <c r="D189" s="14" t="s">
        <v>40</v>
      </c>
      <c r="E189" s="49">
        <v>92000</v>
      </c>
    </row>
    <row r="190" spans="1:5" s="37" customFormat="1" ht="22.5" customHeight="1" x14ac:dyDescent="0.25">
      <c r="A190" s="6" t="s">
        <v>31</v>
      </c>
      <c r="B190" s="6"/>
      <c r="C190" s="6"/>
      <c r="D190" s="6"/>
      <c r="E190" s="42">
        <f>SUM(E188:E189)</f>
        <v>892000</v>
      </c>
    </row>
    <row r="191" spans="1:5" s="37" customFormat="1" ht="22.5" customHeight="1" x14ac:dyDescent="0.25">
      <c r="A191" s="8" t="s">
        <v>7</v>
      </c>
      <c r="B191" s="9" t="s">
        <v>359</v>
      </c>
      <c r="C191" s="9" t="s">
        <v>84</v>
      </c>
      <c r="D191" s="14" t="s">
        <v>0</v>
      </c>
      <c r="E191" s="44">
        <f>492000+495000+496000</f>
        <v>1483000</v>
      </c>
    </row>
    <row r="192" spans="1:5" s="37" customFormat="1" ht="22.5" customHeight="1" x14ac:dyDescent="0.25">
      <c r="A192" s="8"/>
      <c r="B192" s="9"/>
      <c r="C192" s="9"/>
      <c r="D192" s="14" t="s">
        <v>40</v>
      </c>
      <c r="E192" s="44">
        <v>395000</v>
      </c>
    </row>
    <row r="193" spans="1:5" s="37" customFormat="1" ht="22.5" customHeight="1" x14ac:dyDescent="0.25">
      <c r="A193" s="6"/>
      <c r="B193" s="6"/>
      <c r="C193" s="6"/>
      <c r="D193" s="6"/>
      <c r="E193" s="42">
        <f>SUM(E191:E192)</f>
        <v>1878000</v>
      </c>
    </row>
    <row r="194" spans="1:5" s="37" customFormat="1" ht="22.5" customHeight="1" x14ac:dyDescent="0.25">
      <c r="A194" s="9" t="s">
        <v>14</v>
      </c>
      <c r="B194" s="9" t="s">
        <v>360</v>
      </c>
      <c r="C194" s="9" t="s">
        <v>142</v>
      </c>
      <c r="D194" s="14" t="s">
        <v>0</v>
      </c>
      <c r="E194" s="44">
        <f>414957-130935</f>
        <v>284022</v>
      </c>
    </row>
    <row r="195" spans="1:5" s="37" customFormat="1" ht="22.5" customHeight="1" x14ac:dyDescent="0.25">
      <c r="A195" s="9"/>
      <c r="B195" s="9"/>
      <c r="C195" s="9"/>
      <c r="D195" s="14" t="s">
        <v>40</v>
      </c>
      <c r="E195" s="44">
        <v>130935</v>
      </c>
    </row>
    <row r="196" spans="1:5" s="37" customFormat="1" ht="22.5" customHeight="1" x14ac:dyDescent="0.25">
      <c r="A196" s="6"/>
      <c r="B196" s="6"/>
      <c r="C196" s="6"/>
      <c r="D196" s="6"/>
      <c r="E196" s="42">
        <f>SUM(E194:E195)</f>
        <v>414957</v>
      </c>
    </row>
    <row r="197" spans="1:5" s="37" customFormat="1" ht="22.5" customHeight="1" x14ac:dyDescent="0.25">
      <c r="A197" s="10" t="s">
        <v>15</v>
      </c>
      <c r="B197" s="10" t="s">
        <v>361</v>
      </c>
      <c r="C197" s="9" t="s">
        <v>85</v>
      </c>
      <c r="D197" s="9" t="s">
        <v>76</v>
      </c>
      <c r="E197" s="44">
        <v>427043</v>
      </c>
    </row>
    <row r="198" spans="1:5" s="37" customFormat="1" ht="22.5" customHeight="1" x14ac:dyDescent="0.25">
      <c r="A198" s="6"/>
      <c r="B198" s="6"/>
      <c r="C198" s="6"/>
      <c r="D198" s="6"/>
      <c r="E198" s="42">
        <f>SUM(E197)</f>
        <v>427043</v>
      </c>
    </row>
    <row r="199" spans="1:5" s="38" customFormat="1" ht="22.5" customHeight="1" x14ac:dyDescent="0.25">
      <c r="A199" s="18" t="s">
        <v>47</v>
      </c>
      <c r="B199" s="18"/>
      <c r="C199" s="18"/>
      <c r="D199" s="18"/>
      <c r="E199" s="42">
        <f>E190+E187+E185+E183+E198+E196+E193</f>
        <v>9212000</v>
      </c>
    </row>
    <row r="200" spans="1:5" s="37" customFormat="1" ht="35.25" customHeight="1" x14ac:dyDescent="0.25">
      <c r="A200" s="9" t="s">
        <v>206</v>
      </c>
      <c r="B200" s="11" t="s">
        <v>460</v>
      </c>
      <c r="C200" s="11" t="s">
        <v>207</v>
      </c>
      <c r="D200" s="14" t="s">
        <v>1</v>
      </c>
      <c r="E200" s="43">
        <v>800000</v>
      </c>
    </row>
    <row r="201" spans="1:5" s="37" customFormat="1" ht="24" customHeight="1" x14ac:dyDescent="0.25">
      <c r="A201" s="9"/>
      <c r="B201" s="11"/>
      <c r="C201" s="11"/>
      <c r="D201" s="14" t="s">
        <v>40</v>
      </c>
      <c r="E201" s="43">
        <v>200000</v>
      </c>
    </row>
    <row r="202" spans="1:5" s="37" customFormat="1" ht="22.5" customHeight="1" x14ac:dyDescent="0.25">
      <c r="A202" s="6" t="s">
        <v>31</v>
      </c>
      <c r="B202" s="6"/>
      <c r="C202" s="6"/>
      <c r="D202" s="6"/>
      <c r="E202" s="57">
        <f>SUM(E200:E201)</f>
        <v>1000000</v>
      </c>
    </row>
    <row r="203" spans="1:5" s="37" customFormat="1" ht="22.5" customHeight="1" x14ac:dyDescent="0.25">
      <c r="A203" s="9" t="s">
        <v>86</v>
      </c>
      <c r="B203" s="9" t="s">
        <v>362</v>
      </c>
      <c r="C203" s="9" t="s">
        <v>87</v>
      </c>
      <c r="D203" s="14" t="s">
        <v>0</v>
      </c>
      <c r="E203" s="44">
        <v>105694</v>
      </c>
    </row>
    <row r="204" spans="1:5" s="37" customFormat="1" ht="22.5" customHeight="1" x14ac:dyDescent="0.25">
      <c r="A204" s="6" t="s">
        <v>31</v>
      </c>
      <c r="B204" s="6"/>
      <c r="C204" s="6"/>
      <c r="D204" s="6"/>
      <c r="E204" s="42">
        <f>E203</f>
        <v>105694</v>
      </c>
    </row>
    <row r="205" spans="1:5" s="37" customFormat="1" ht="22.5" customHeight="1" x14ac:dyDescent="0.25">
      <c r="A205" s="11" t="s">
        <v>16</v>
      </c>
      <c r="B205" s="11" t="s">
        <v>363</v>
      </c>
      <c r="C205" s="11" t="s">
        <v>120</v>
      </c>
      <c r="D205" s="45" t="s">
        <v>0</v>
      </c>
      <c r="E205" s="44">
        <v>1142354</v>
      </c>
    </row>
    <row r="206" spans="1:5" s="37" customFormat="1" ht="22.5" customHeight="1" x14ac:dyDescent="0.25">
      <c r="A206" s="11"/>
      <c r="B206" s="11"/>
      <c r="C206" s="11"/>
      <c r="D206" s="45" t="s">
        <v>1</v>
      </c>
      <c r="E206" s="44">
        <v>547215</v>
      </c>
    </row>
    <row r="207" spans="1:5" s="37" customFormat="1" ht="22.5" customHeight="1" x14ac:dyDescent="0.25">
      <c r="A207" s="6" t="s">
        <v>31</v>
      </c>
      <c r="B207" s="6"/>
      <c r="C207" s="6"/>
      <c r="D207" s="6"/>
      <c r="E207" s="57">
        <f>SUM(E205:E206)</f>
        <v>1689569</v>
      </c>
    </row>
    <row r="208" spans="1:5" s="37" customFormat="1" ht="16.5" customHeight="1" x14ac:dyDescent="0.25">
      <c r="A208" s="11" t="s">
        <v>16</v>
      </c>
      <c r="B208" s="11" t="s">
        <v>364</v>
      </c>
      <c r="C208" s="11" t="s">
        <v>121</v>
      </c>
      <c r="D208" s="45" t="s">
        <v>0</v>
      </c>
      <c r="E208" s="44">
        <v>1611785</v>
      </c>
    </row>
    <row r="209" spans="1:5" s="37" customFormat="1" ht="22.5" customHeight="1" x14ac:dyDescent="0.25">
      <c r="A209" s="6" t="s">
        <v>31</v>
      </c>
      <c r="B209" s="6"/>
      <c r="C209" s="6"/>
      <c r="D209" s="6"/>
      <c r="E209" s="57">
        <f>SUM(E208)</f>
        <v>1611785</v>
      </c>
    </row>
    <row r="210" spans="1:5" s="37" customFormat="1" ht="22.5" customHeight="1" x14ac:dyDescent="0.25">
      <c r="A210" s="11" t="s">
        <v>16</v>
      </c>
      <c r="B210" s="11" t="s">
        <v>365</v>
      </c>
      <c r="C210" s="11" t="s">
        <v>122</v>
      </c>
      <c r="D210" s="45" t="s">
        <v>0</v>
      </c>
      <c r="E210" s="44">
        <v>1482810</v>
      </c>
    </row>
    <row r="211" spans="1:5" s="37" customFormat="1" ht="20.25" customHeight="1" x14ac:dyDescent="0.25">
      <c r="A211" s="11"/>
      <c r="B211" s="11"/>
      <c r="C211" s="11"/>
      <c r="D211" s="45" t="s">
        <v>1</v>
      </c>
      <c r="E211" s="44">
        <v>201079</v>
      </c>
    </row>
    <row r="212" spans="1:5" s="37" customFormat="1" ht="17.25" customHeight="1" x14ac:dyDescent="0.25">
      <c r="A212" s="6" t="s">
        <v>31</v>
      </c>
      <c r="B212" s="6"/>
      <c r="C212" s="6"/>
      <c r="D212" s="6"/>
      <c r="E212" s="57">
        <f>SUM(E210:E211)</f>
        <v>1683889</v>
      </c>
    </row>
    <row r="213" spans="1:5" s="37" customFormat="1" ht="19.5" customHeight="1" x14ac:dyDescent="0.25">
      <c r="A213" s="11" t="s">
        <v>16</v>
      </c>
      <c r="B213" s="11" t="s">
        <v>366</v>
      </c>
      <c r="C213" s="11" t="s">
        <v>123</v>
      </c>
      <c r="D213" s="45" t="s">
        <v>1</v>
      </c>
      <c r="E213" s="44">
        <v>186976</v>
      </c>
    </row>
    <row r="214" spans="1:5" s="37" customFormat="1" ht="18" customHeight="1" x14ac:dyDescent="0.25">
      <c r="A214" s="6" t="s">
        <v>31</v>
      </c>
      <c r="B214" s="6"/>
      <c r="C214" s="6"/>
      <c r="D214" s="6"/>
      <c r="E214" s="57">
        <f>SUM(E213)</f>
        <v>186976</v>
      </c>
    </row>
    <row r="215" spans="1:5" s="38" customFormat="1" ht="22.5" customHeight="1" x14ac:dyDescent="0.25">
      <c r="A215" s="18" t="s">
        <v>47</v>
      </c>
      <c r="B215" s="18"/>
      <c r="C215" s="18"/>
      <c r="D215" s="18"/>
      <c r="E215" s="42">
        <f t="shared" ref="E215" si="6">E202+E214+E212+E209+E207+E204</f>
        <v>6277913</v>
      </c>
    </row>
    <row r="216" spans="1:5" s="37" customFormat="1" ht="22.5" customHeight="1" x14ac:dyDescent="0.25">
      <c r="A216" s="11" t="s">
        <v>197</v>
      </c>
      <c r="B216" s="11" t="s">
        <v>461</v>
      </c>
      <c r="C216" s="11" t="s">
        <v>330</v>
      </c>
      <c r="D216" s="45" t="s">
        <v>0</v>
      </c>
      <c r="E216" s="43">
        <v>1500000</v>
      </c>
    </row>
    <row r="217" spans="1:5" s="37" customFormat="1" ht="22.5" customHeight="1" x14ac:dyDescent="0.25">
      <c r="A217" s="6" t="s">
        <v>31</v>
      </c>
      <c r="B217" s="6"/>
      <c r="C217" s="6"/>
      <c r="D217" s="6"/>
      <c r="E217" s="57">
        <f>SUM(E216)</f>
        <v>1500000</v>
      </c>
    </row>
    <row r="218" spans="1:5" s="37" customFormat="1" ht="22.5" customHeight="1" x14ac:dyDescent="0.25">
      <c r="A218" s="11" t="s">
        <v>197</v>
      </c>
      <c r="B218" s="11" t="s">
        <v>462</v>
      </c>
      <c r="C218" s="11" t="s">
        <v>332</v>
      </c>
      <c r="D218" s="21" t="s">
        <v>0</v>
      </c>
      <c r="E218" s="43">
        <v>1600000</v>
      </c>
    </row>
    <row r="219" spans="1:5" s="37" customFormat="1" ht="21" customHeight="1" x14ac:dyDescent="0.25">
      <c r="A219" s="11"/>
      <c r="B219" s="11"/>
      <c r="C219" s="11"/>
      <c r="D219" s="21" t="s">
        <v>40</v>
      </c>
      <c r="E219" s="43">
        <v>800000</v>
      </c>
    </row>
    <row r="220" spans="1:5" s="37" customFormat="1" ht="22.5" customHeight="1" x14ac:dyDescent="0.25">
      <c r="A220" s="6" t="s">
        <v>31</v>
      </c>
      <c r="B220" s="6"/>
      <c r="C220" s="6"/>
      <c r="D220" s="6"/>
      <c r="E220" s="57">
        <f>SUM(E218:E219)</f>
        <v>2400000</v>
      </c>
    </row>
    <row r="221" spans="1:5" s="37" customFormat="1" ht="22.5" customHeight="1" x14ac:dyDescent="0.25">
      <c r="A221" s="11" t="s">
        <v>197</v>
      </c>
      <c r="B221" s="11" t="s">
        <v>463</v>
      </c>
      <c r="C221" s="11" t="s">
        <v>333</v>
      </c>
      <c r="D221" s="21" t="s">
        <v>0</v>
      </c>
      <c r="E221" s="43">
        <v>1500000</v>
      </c>
    </row>
    <row r="222" spans="1:5" s="37" customFormat="1" ht="22.5" customHeight="1" x14ac:dyDescent="0.25">
      <c r="A222" s="6" t="s">
        <v>31</v>
      </c>
      <c r="B222" s="6"/>
      <c r="C222" s="6"/>
      <c r="D222" s="6"/>
      <c r="E222" s="57">
        <f>SUM(E221)</f>
        <v>1500000</v>
      </c>
    </row>
    <row r="223" spans="1:5" s="37" customFormat="1" ht="22.5" customHeight="1" x14ac:dyDescent="0.25">
      <c r="A223" s="11" t="s">
        <v>198</v>
      </c>
      <c r="B223" s="11" t="s">
        <v>464</v>
      </c>
      <c r="C223" s="11" t="s">
        <v>331</v>
      </c>
      <c r="D223" s="21" t="s">
        <v>1</v>
      </c>
      <c r="E223" s="43">
        <v>700000</v>
      </c>
    </row>
    <row r="224" spans="1:5" s="37" customFormat="1" ht="22.5" customHeight="1" x14ac:dyDescent="0.25">
      <c r="A224" s="6" t="s">
        <v>31</v>
      </c>
      <c r="B224" s="6"/>
      <c r="C224" s="6"/>
      <c r="D224" s="6"/>
      <c r="E224" s="57">
        <f>SUM(E223)</f>
        <v>700000</v>
      </c>
    </row>
    <row r="225" spans="1:5" s="37" customFormat="1" ht="22.5" customHeight="1" x14ac:dyDescent="0.25">
      <c r="A225" s="11" t="s">
        <v>41</v>
      </c>
      <c r="B225" s="11" t="s">
        <v>367</v>
      </c>
      <c r="C225" s="11" t="s">
        <v>124</v>
      </c>
      <c r="D225" s="45" t="s">
        <v>0</v>
      </c>
      <c r="E225" s="44">
        <v>1939212</v>
      </c>
    </row>
    <row r="226" spans="1:5" s="37" customFormat="1" ht="22.5" customHeight="1" x14ac:dyDescent="0.25">
      <c r="A226" s="11"/>
      <c r="B226" s="11"/>
      <c r="C226" s="11"/>
      <c r="D226" s="45" t="s">
        <v>40</v>
      </c>
      <c r="E226" s="43">
        <v>65000</v>
      </c>
    </row>
    <row r="227" spans="1:5" s="37" customFormat="1" ht="22.5" customHeight="1" x14ac:dyDescent="0.25">
      <c r="A227" s="11"/>
      <c r="B227" s="11"/>
      <c r="C227" s="11"/>
      <c r="D227" s="21" t="s">
        <v>2</v>
      </c>
      <c r="E227" s="43">
        <v>15000</v>
      </c>
    </row>
    <row r="228" spans="1:5" s="37" customFormat="1" ht="22.5" customHeight="1" x14ac:dyDescent="0.25">
      <c r="A228" s="6"/>
      <c r="B228" s="6"/>
      <c r="C228" s="6"/>
      <c r="D228" s="6"/>
      <c r="E228" s="42">
        <f>SUM(E225:E227)</f>
        <v>2019212</v>
      </c>
    </row>
    <row r="229" spans="1:5" s="38" customFormat="1" ht="22.5" customHeight="1" x14ac:dyDescent="0.25">
      <c r="A229" s="18" t="s">
        <v>47</v>
      </c>
      <c r="B229" s="18"/>
      <c r="C229" s="18"/>
      <c r="D229" s="18"/>
      <c r="E229" s="42">
        <f t="shared" ref="E229" si="7">E224+E222+E220+E217+E228</f>
        <v>8119212</v>
      </c>
    </row>
    <row r="230" spans="1:5" s="37" customFormat="1" ht="22.5" customHeight="1" x14ac:dyDescent="0.2">
      <c r="A230" s="28" t="s">
        <v>213</v>
      </c>
      <c r="B230" s="28" t="s">
        <v>465</v>
      </c>
      <c r="C230" s="28" t="s">
        <v>316</v>
      </c>
      <c r="D230" s="48" t="s">
        <v>0</v>
      </c>
      <c r="E230" s="61">
        <v>1200000</v>
      </c>
    </row>
    <row r="231" spans="1:5" s="37" customFormat="1" ht="22.5" customHeight="1" x14ac:dyDescent="0.2">
      <c r="A231" s="28"/>
      <c r="B231" s="28"/>
      <c r="C231" s="28"/>
      <c r="D231" s="21" t="s">
        <v>1</v>
      </c>
      <c r="E231" s="61">
        <v>500000</v>
      </c>
    </row>
    <row r="232" spans="1:5" s="37" customFormat="1" ht="22.5" customHeight="1" x14ac:dyDescent="0.2">
      <c r="A232" s="28"/>
      <c r="B232" s="28"/>
      <c r="C232" s="28"/>
      <c r="D232" s="21" t="s">
        <v>40</v>
      </c>
      <c r="E232" s="61">
        <v>200000</v>
      </c>
    </row>
    <row r="233" spans="1:5" s="37" customFormat="1" ht="22.5" customHeight="1" x14ac:dyDescent="0.15">
      <c r="A233" s="6" t="s">
        <v>31</v>
      </c>
      <c r="B233" s="32"/>
      <c r="C233" s="32"/>
      <c r="D233" s="48"/>
      <c r="E233" s="53">
        <f>SUM(E230:E232)</f>
        <v>1900000</v>
      </c>
    </row>
    <row r="234" spans="1:5" s="37" customFormat="1" ht="22.5" customHeight="1" x14ac:dyDescent="0.2">
      <c r="A234" s="28" t="s">
        <v>213</v>
      </c>
      <c r="B234" s="28" t="s">
        <v>466</v>
      </c>
      <c r="C234" s="28" t="s">
        <v>214</v>
      </c>
      <c r="D234" s="21" t="s">
        <v>1</v>
      </c>
      <c r="E234" s="61">
        <v>500000</v>
      </c>
    </row>
    <row r="235" spans="1:5" s="37" customFormat="1" ht="22.5" customHeight="1" x14ac:dyDescent="0.2">
      <c r="A235" s="28"/>
      <c r="B235" s="28"/>
      <c r="C235" s="28"/>
      <c r="D235" s="21" t="s">
        <v>40</v>
      </c>
      <c r="E235" s="61">
        <v>200000</v>
      </c>
    </row>
    <row r="236" spans="1:5" s="37" customFormat="1" ht="22.5" customHeight="1" x14ac:dyDescent="0.15">
      <c r="A236" s="6" t="s">
        <v>31</v>
      </c>
      <c r="B236" s="32"/>
      <c r="C236" s="32"/>
      <c r="D236" s="48"/>
      <c r="E236" s="53">
        <f>SUM(E234:E235)</f>
        <v>700000</v>
      </c>
    </row>
    <row r="237" spans="1:5" s="37" customFormat="1" ht="22.5" customHeight="1" x14ac:dyDescent="0.2">
      <c r="A237" s="28" t="s">
        <v>213</v>
      </c>
      <c r="B237" s="28" t="s">
        <v>467</v>
      </c>
      <c r="C237" s="28" t="s">
        <v>215</v>
      </c>
      <c r="D237" s="48" t="s">
        <v>0</v>
      </c>
      <c r="E237" s="61">
        <v>1000000</v>
      </c>
    </row>
    <row r="238" spans="1:5" s="37" customFormat="1" ht="22.5" customHeight="1" x14ac:dyDescent="0.15">
      <c r="A238" s="6" t="s">
        <v>31</v>
      </c>
      <c r="B238" s="32"/>
      <c r="C238" s="32"/>
      <c r="D238" s="48"/>
      <c r="E238" s="53">
        <f>SUM(E237)</f>
        <v>1000000</v>
      </c>
    </row>
    <row r="239" spans="1:5" s="37" customFormat="1" ht="22.5" customHeight="1" x14ac:dyDescent="0.2">
      <c r="A239" s="28" t="s">
        <v>213</v>
      </c>
      <c r="B239" s="28" t="s">
        <v>468</v>
      </c>
      <c r="C239" s="28" t="s">
        <v>318</v>
      </c>
      <c r="D239" s="21" t="s">
        <v>40</v>
      </c>
      <c r="E239" s="61">
        <v>200000</v>
      </c>
    </row>
    <row r="240" spans="1:5" s="37" customFormat="1" ht="22.5" customHeight="1" x14ac:dyDescent="0.2">
      <c r="A240" s="31"/>
      <c r="B240" s="31"/>
      <c r="C240" s="31"/>
      <c r="D240" s="22" t="s">
        <v>153</v>
      </c>
      <c r="E240" s="62">
        <v>200000</v>
      </c>
    </row>
    <row r="241" spans="1:5" s="37" customFormat="1" ht="22.5" customHeight="1" x14ac:dyDescent="0.15">
      <c r="A241" s="6" t="s">
        <v>31</v>
      </c>
      <c r="B241" s="32"/>
      <c r="C241" s="32"/>
      <c r="D241" s="48"/>
      <c r="E241" s="53">
        <f>SUM(E239:E240)</f>
        <v>400000</v>
      </c>
    </row>
    <row r="242" spans="1:5" s="37" customFormat="1" ht="22.5" customHeight="1" x14ac:dyDescent="0.2">
      <c r="A242" s="28" t="s">
        <v>7</v>
      </c>
      <c r="B242" s="28" t="s">
        <v>469</v>
      </c>
      <c r="C242" s="28" t="s">
        <v>317</v>
      </c>
      <c r="D242" s="48" t="s">
        <v>0</v>
      </c>
      <c r="E242" s="61">
        <v>1500000</v>
      </c>
    </row>
    <row r="243" spans="1:5" s="37" customFormat="1" ht="22.5" customHeight="1" x14ac:dyDescent="0.15">
      <c r="A243" s="6" t="s">
        <v>31</v>
      </c>
      <c r="B243" s="32"/>
      <c r="C243" s="32"/>
      <c r="D243" s="48"/>
      <c r="E243" s="53">
        <f>SUM(E242)</f>
        <v>1500000</v>
      </c>
    </row>
    <row r="244" spans="1:5" s="38" customFormat="1" ht="22.5" customHeight="1" x14ac:dyDescent="0.25">
      <c r="A244" s="18" t="s">
        <v>47</v>
      </c>
      <c r="B244" s="18"/>
      <c r="C244" s="18"/>
      <c r="D244" s="18"/>
      <c r="E244" s="63">
        <f>E243+E241+E238+E236+E233</f>
        <v>5500000</v>
      </c>
    </row>
    <row r="245" spans="1:5" s="37" customFormat="1" ht="22.5" customHeight="1" x14ac:dyDescent="0.25">
      <c r="A245" s="10" t="s">
        <v>267</v>
      </c>
      <c r="B245" s="9" t="s">
        <v>470</v>
      </c>
      <c r="C245" s="9" t="s">
        <v>268</v>
      </c>
      <c r="D245" s="48" t="s">
        <v>0</v>
      </c>
      <c r="E245" s="43">
        <v>3000000</v>
      </c>
    </row>
    <row r="246" spans="1:5" s="37" customFormat="1" ht="22.5" customHeight="1" x14ac:dyDescent="0.25">
      <c r="A246" s="12" t="s">
        <v>31</v>
      </c>
      <c r="B246" s="12"/>
      <c r="C246" s="12"/>
      <c r="D246" s="12"/>
      <c r="E246" s="42">
        <f>SUM(E245)</f>
        <v>3000000</v>
      </c>
    </row>
    <row r="247" spans="1:5" s="37" customFormat="1" ht="38.25" customHeight="1" x14ac:dyDescent="0.25">
      <c r="A247" s="9" t="s">
        <v>42</v>
      </c>
      <c r="B247" s="9" t="s">
        <v>471</v>
      </c>
      <c r="C247" s="9" t="s">
        <v>302</v>
      </c>
      <c r="D247" s="48" t="s">
        <v>0</v>
      </c>
      <c r="E247" s="43">
        <v>6000000</v>
      </c>
    </row>
    <row r="248" spans="1:5" s="37" customFormat="1" ht="22.5" customHeight="1" x14ac:dyDescent="0.25">
      <c r="A248" s="9"/>
      <c r="B248" s="9"/>
      <c r="C248" s="9"/>
      <c r="D248" s="12" t="s">
        <v>40</v>
      </c>
      <c r="E248" s="43">
        <v>200000</v>
      </c>
    </row>
    <row r="249" spans="1:5" s="37" customFormat="1" ht="22.5" customHeight="1" x14ac:dyDescent="0.25">
      <c r="A249" s="12" t="s">
        <v>31</v>
      </c>
      <c r="B249" s="12"/>
      <c r="C249" s="12"/>
      <c r="D249" s="12"/>
      <c r="E249" s="42">
        <f>SUM(E247:E248)</f>
        <v>6200000</v>
      </c>
    </row>
    <row r="250" spans="1:5" s="37" customFormat="1" ht="22.5" customHeight="1" x14ac:dyDescent="0.25">
      <c r="A250" s="9" t="s">
        <v>42</v>
      </c>
      <c r="B250" s="7" t="s">
        <v>472</v>
      </c>
      <c r="C250" s="7" t="s">
        <v>269</v>
      </c>
      <c r="D250" s="48" t="s">
        <v>0</v>
      </c>
      <c r="E250" s="47">
        <v>5000000</v>
      </c>
    </row>
    <row r="251" spans="1:5" s="37" customFormat="1" ht="22.5" customHeight="1" x14ac:dyDescent="0.25">
      <c r="A251" s="12" t="s">
        <v>31</v>
      </c>
      <c r="B251" s="12"/>
      <c r="C251" s="12"/>
      <c r="D251" s="12"/>
      <c r="E251" s="42">
        <f>SUM(E250)</f>
        <v>5000000</v>
      </c>
    </row>
    <row r="252" spans="1:5" s="37" customFormat="1" ht="22.5" customHeight="1" x14ac:dyDescent="0.25">
      <c r="A252" s="7" t="s">
        <v>270</v>
      </c>
      <c r="B252" s="7" t="s">
        <v>473</v>
      </c>
      <c r="C252" s="7" t="s">
        <v>303</v>
      </c>
      <c r="D252" s="48" t="s">
        <v>0</v>
      </c>
      <c r="E252" s="47">
        <v>3000000</v>
      </c>
    </row>
    <row r="253" spans="1:5" s="37" customFormat="1" ht="22.5" customHeight="1" x14ac:dyDescent="0.25">
      <c r="A253" s="16"/>
      <c r="B253" s="16"/>
      <c r="C253" s="16"/>
      <c r="D253" s="22" t="s">
        <v>153</v>
      </c>
      <c r="E253" s="64">
        <v>400000</v>
      </c>
    </row>
    <row r="254" spans="1:5" s="37" customFormat="1" ht="22.5" customHeight="1" x14ac:dyDescent="0.25">
      <c r="A254" s="12" t="s">
        <v>31</v>
      </c>
      <c r="B254" s="12"/>
      <c r="C254" s="12"/>
      <c r="D254" s="12"/>
      <c r="E254" s="42">
        <f>SUM(E252:E253)</f>
        <v>3400000</v>
      </c>
    </row>
    <row r="255" spans="1:5" s="37" customFormat="1" ht="22.5" customHeight="1" x14ac:dyDescent="0.25">
      <c r="A255" s="33" t="s">
        <v>17</v>
      </c>
      <c r="B255" s="33" t="s">
        <v>474</v>
      </c>
      <c r="C255" s="33" t="s">
        <v>304</v>
      </c>
      <c r="D255" s="48" t="s">
        <v>0</v>
      </c>
      <c r="E255" s="43">
        <v>1500000</v>
      </c>
    </row>
    <row r="256" spans="1:5" s="37" customFormat="1" ht="41.25" customHeight="1" x14ac:dyDescent="0.25">
      <c r="A256" s="12" t="s">
        <v>31</v>
      </c>
      <c r="B256" s="12"/>
      <c r="C256" s="12"/>
      <c r="D256" s="12"/>
      <c r="E256" s="57">
        <f>SUM(E255)</f>
        <v>1500000</v>
      </c>
    </row>
    <row r="257" spans="1:5" s="37" customFormat="1" ht="22.5" customHeight="1" x14ac:dyDescent="0.25">
      <c r="A257" s="9" t="s">
        <v>7</v>
      </c>
      <c r="B257" s="9" t="s">
        <v>368</v>
      </c>
      <c r="C257" s="9" t="s">
        <v>88</v>
      </c>
      <c r="D257" s="9" t="s">
        <v>40</v>
      </c>
      <c r="E257" s="43">
        <v>77200</v>
      </c>
    </row>
    <row r="258" spans="1:5" s="37" customFormat="1" ht="22.5" customHeight="1" x14ac:dyDescent="0.25">
      <c r="A258" s="9"/>
      <c r="B258" s="9"/>
      <c r="C258" s="9"/>
      <c r="D258" s="12" t="s">
        <v>2</v>
      </c>
      <c r="E258" s="43">
        <v>95517</v>
      </c>
    </row>
    <row r="259" spans="1:5" s="37" customFormat="1" ht="22.5" customHeight="1" x14ac:dyDescent="0.25">
      <c r="A259" s="20"/>
      <c r="B259" s="20"/>
      <c r="C259" s="20"/>
      <c r="D259" s="20"/>
      <c r="E259" s="47">
        <f>SUM(E257:E258)</f>
        <v>172717</v>
      </c>
    </row>
    <row r="260" spans="1:5" s="37" customFormat="1" ht="22.5" customHeight="1" x14ac:dyDescent="0.25">
      <c r="A260" s="10" t="s">
        <v>17</v>
      </c>
      <c r="B260" s="9" t="s">
        <v>369</v>
      </c>
      <c r="C260" s="9" t="s">
        <v>89</v>
      </c>
      <c r="D260" s="12" t="s">
        <v>2</v>
      </c>
      <c r="E260" s="43">
        <v>100000</v>
      </c>
    </row>
    <row r="261" spans="1:5" s="37" customFormat="1" ht="22.5" customHeight="1" x14ac:dyDescent="0.25">
      <c r="A261" s="12"/>
      <c r="B261" s="12"/>
      <c r="C261" s="12"/>
      <c r="D261" s="12"/>
      <c r="E261" s="47">
        <f>SUM(E260:E260)</f>
        <v>100000</v>
      </c>
    </row>
    <row r="262" spans="1:5" s="37" customFormat="1" ht="22.5" customHeight="1" x14ac:dyDescent="0.25">
      <c r="A262" s="7" t="s">
        <v>42</v>
      </c>
      <c r="B262" s="7" t="s">
        <v>370</v>
      </c>
      <c r="C262" s="7" t="s">
        <v>44</v>
      </c>
      <c r="D262" s="14" t="s">
        <v>0</v>
      </c>
      <c r="E262" s="44">
        <v>646848</v>
      </c>
    </row>
    <row r="263" spans="1:5" s="37" customFormat="1" ht="22.5" customHeight="1" x14ac:dyDescent="0.25">
      <c r="A263" s="7"/>
      <c r="B263" s="7"/>
      <c r="C263" s="7"/>
      <c r="D263" s="14" t="s">
        <v>40</v>
      </c>
      <c r="E263" s="47">
        <v>242000</v>
      </c>
    </row>
    <row r="264" spans="1:5" s="37" customFormat="1" ht="22.5" customHeight="1" x14ac:dyDescent="0.25">
      <c r="A264" s="7"/>
      <c r="B264" s="7"/>
      <c r="C264" s="7"/>
      <c r="D264" s="21" t="s">
        <v>2</v>
      </c>
      <c r="E264" s="43">
        <v>105000</v>
      </c>
    </row>
    <row r="265" spans="1:5" s="37" customFormat="1" ht="22.5" customHeight="1" x14ac:dyDescent="0.25">
      <c r="A265" s="12"/>
      <c r="B265" s="12"/>
      <c r="C265" s="12"/>
      <c r="D265" s="12"/>
      <c r="E265" s="47">
        <f>SUM(E262:E264)</f>
        <v>993848</v>
      </c>
    </row>
    <row r="266" spans="1:5" s="38" customFormat="1" ht="22.5" customHeight="1" x14ac:dyDescent="0.25">
      <c r="A266" s="18" t="s">
        <v>47</v>
      </c>
      <c r="B266" s="18"/>
      <c r="C266" s="18"/>
      <c r="D266" s="18"/>
      <c r="E266" s="42">
        <f t="shared" ref="E266" si="8">E256+E254+E251+E249+E246+E265+E261+E259</f>
        <v>20366565</v>
      </c>
    </row>
    <row r="267" spans="1:5" s="37" customFormat="1" ht="22.5" customHeight="1" x14ac:dyDescent="0.25">
      <c r="A267" s="9" t="s">
        <v>7</v>
      </c>
      <c r="B267" s="29" t="s">
        <v>475</v>
      </c>
      <c r="C267" s="34" t="s">
        <v>416</v>
      </c>
      <c r="D267" s="9" t="s">
        <v>0</v>
      </c>
      <c r="E267" s="43">
        <v>3000000</v>
      </c>
    </row>
    <row r="268" spans="1:5" s="37" customFormat="1" ht="22.5" customHeight="1" x14ac:dyDescent="0.25">
      <c r="A268" s="9"/>
      <c r="B268" s="29"/>
      <c r="C268" s="34"/>
      <c r="D268" s="65" t="s">
        <v>1</v>
      </c>
      <c r="E268" s="43">
        <v>1500000</v>
      </c>
    </row>
    <row r="269" spans="1:5" s="37" customFormat="1" ht="22.5" customHeight="1" x14ac:dyDescent="0.25">
      <c r="A269" s="9"/>
      <c r="B269" s="29"/>
      <c r="C269" s="34"/>
      <c r="D269" s="65" t="s">
        <v>40</v>
      </c>
      <c r="E269" s="43">
        <v>545000</v>
      </c>
    </row>
    <row r="270" spans="1:5" s="37" customFormat="1" ht="22.5" customHeight="1" x14ac:dyDescent="0.25">
      <c r="A270" s="12" t="s">
        <v>31</v>
      </c>
      <c r="B270" s="12"/>
      <c r="C270" s="12"/>
      <c r="D270" s="12"/>
      <c r="E270" s="42">
        <f>SUM(E267:E269)</f>
        <v>5045000</v>
      </c>
    </row>
    <row r="271" spans="1:5" s="37" customFormat="1" ht="22.5" customHeight="1" x14ac:dyDescent="0.25">
      <c r="A271" s="9" t="s">
        <v>417</v>
      </c>
      <c r="B271" s="29" t="s">
        <v>476</v>
      </c>
      <c r="C271" s="34" t="s">
        <v>545</v>
      </c>
      <c r="D271" s="65" t="s">
        <v>1</v>
      </c>
      <c r="E271" s="43">
        <v>1400000</v>
      </c>
    </row>
    <row r="272" spans="1:5" s="37" customFormat="1" ht="22.5" customHeight="1" x14ac:dyDescent="0.25">
      <c r="A272" s="9"/>
      <c r="B272" s="29"/>
      <c r="C272" s="34"/>
      <c r="D272" s="65" t="s">
        <v>40</v>
      </c>
      <c r="E272" s="43">
        <v>115000</v>
      </c>
    </row>
    <row r="273" spans="1:5" s="37" customFormat="1" ht="22.5" customHeight="1" x14ac:dyDescent="0.25">
      <c r="A273" s="10"/>
      <c r="B273" s="30"/>
      <c r="C273" s="35"/>
      <c r="D273" s="66" t="s">
        <v>153</v>
      </c>
      <c r="E273" s="40">
        <v>155000</v>
      </c>
    </row>
    <row r="274" spans="1:5" s="37" customFormat="1" ht="21.75" customHeight="1" x14ac:dyDescent="0.25">
      <c r="A274" s="12" t="s">
        <v>31</v>
      </c>
      <c r="B274" s="12"/>
      <c r="C274" s="12"/>
      <c r="D274" s="12"/>
      <c r="E274" s="42">
        <f>SUM(E271:E273)</f>
        <v>1670000</v>
      </c>
    </row>
    <row r="275" spans="1:5" s="37" customFormat="1" ht="22.5" customHeight="1" x14ac:dyDescent="0.25">
      <c r="A275" s="23" t="s">
        <v>20</v>
      </c>
      <c r="B275" s="24" t="s">
        <v>371</v>
      </c>
      <c r="C275" s="11" t="s">
        <v>127</v>
      </c>
      <c r="D275" s="45" t="s">
        <v>0</v>
      </c>
      <c r="E275" s="44">
        <f>484481+412969+448101</f>
        <v>1345551</v>
      </c>
    </row>
    <row r="276" spans="1:5" s="37" customFormat="1" ht="22.5" customHeight="1" x14ac:dyDescent="0.25">
      <c r="A276" s="23"/>
      <c r="B276" s="23"/>
      <c r="C276" s="11"/>
      <c r="D276" s="21" t="s">
        <v>40</v>
      </c>
      <c r="E276" s="43">
        <v>310000</v>
      </c>
    </row>
    <row r="277" spans="1:5" s="37" customFormat="1" ht="22.5" customHeight="1" x14ac:dyDescent="0.25">
      <c r="A277" s="23"/>
      <c r="B277" s="23"/>
      <c r="C277" s="11"/>
      <c r="D277" s="21" t="s">
        <v>2</v>
      </c>
      <c r="E277" s="43">
        <v>521000</v>
      </c>
    </row>
    <row r="278" spans="1:5" s="37" customFormat="1" ht="22.5" customHeight="1" x14ac:dyDescent="0.25">
      <c r="A278" s="12"/>
      <c r="B278" s="12"/>
      <c r="C278" s="12"/>
      <c r="D278" s="12"/>
      <c r="E278" s="43">
        <f>SUM(E275:E277)</f>
        <v>2176551</v>
      </c>
    </row>
    <row r="279" spans="1:5" s="37" customFormat="1" ht="22.5" customHeight="1" x14ac:dyDescent="0.25">
      <c r="A279" s="11" t="s">
        <v>18</v>
      </c>
      <c r="B279" s="11" t="s">
        <v>372</v>
      </c>
      <c r="C279" s="11" t="s">
        <v>128</v>
      </c>
      <c r="D279" s="21" t="s">
        <v>56</v>
      </c>
      <c r="E279" s="44">
        <f>299855+324832+299855*3+249871</f>
        <v>1774123</v>
      </c>
    </row>
    <row r="280" spans="1:5" s="37" customFormat="1" ht="22.5" customHeight="1" x14ac:dyDescent="0.25">
      <c r="A280" s="11"/>
      <c r="B280" s="11"/>
      <c r="C280" s="11"/>
      <c r="D280" s="45" t="s">
        <v>1</v>
      </c>
      <c r="E280" s="44">
        <f>400005+399956+399956+399956+399956+199373+248092+350005+350005+251372</f>
        <v>3398676</v>
      </c>
    </row>
    <row r="281" spans="1:5" s="37" customFormat="1" ht="22.5" customHeight="1" x14ac:dyDescent="0.25">
      <c r="A281" s="11"/>
      <c r="B281" s="11"/>
      <c r="C281" s="11"/>
      <c r="D281" s="21" t="s">
        <v>40</v>
      </c>
      <c r="E281" s="44">
        <f>297589+398658</f>
        <v>696247</v>
      </c>
    </row>
    <row r="282" spans="1:5" s="37" customFormat="1" ht="22.5" customHeight="1" x14ac:dyDescent="0.25">
      <c r="A282" s="11"/>
      <c r="B282" s="11"/>
      <c r="C282" s="11"/>
      <c r="D282" s="45" t="s">
        <v>2</v>
      </c>
      <c r="E282" s="44">
        <v>98794</v>
      </c>
    </row>
    <row r="283" spans="1:5" s="37" customFormat="1" ht="22.5" customHeight="1" x14ac:dyDescent="0.25">
      <c r="A283" s="12"/>
      <c r="B283" s="12"/>
      <c r="C283" s="12"/>
      <c r="D283" s="12"/>
      <c r="E283" s="44">
        <f>SUM(E279:E282)</f>
        <v>5967840</v>
      </c>
    </row>
    <row r="284" spans="1:5" s="37" customFormat="1" ht="22.5" customHeight="1" x14ac:dyDescent="0.25">
      <c r="A284" s="11" t="s">
        <v>129</v>
      </c>
      <c r="B284" s="11" t="s">
        <v>373</v>
      </c>
      <c r="C284" s="11" t="s">
        <v>130</v>
      </c>
      <c r="D284" s="21" t="s">
        <v>56</v>
      </c>
      <c r="E284" s="44">
        <f>308000+325420</f>
        <v>633420</v>
      </c>
    </row>
    <row r="285" spans="1:5" s="37" customFormat="1" ht="22.5" customHeight="1" x14ac:dyDescent="0.25">
      <c r="A285" s="11"/>
      <c r="B285" s="11"/>
      <c r="C285" s="11"/>
      <c r="D285" s="45" t="s">
        <v>1</v>
      </c>
      <c r="E285" s="44">
        <f>41092+192479+274233+13665+43813+67507+237009</f>
        <v>869798</v>
      </c>
    </row>
    <row r="286" spans="1:5" s="37" customFormat="1" ht="22.5" customHeight="1" x14ac:dyDescent="0.25">
      <c r="A286" s="11"/>
      <c r="B286" s="11"/>
      <c r="C286" s="11"/>
      <c r="D286" s="21" t="s">
        <v>40</v>
      </c>
      <c r="E286" s="44">
        <v>116011</v>
      </c>
    </row>
    <row r="287" spans="1:5" s="37" customFormat="1" ht="22.5" customHeight="1" x14ac:dyDescent="0.25">
      <c r="A287" s="11"/>
      <c r="B287" s="11"/>
      <c r="C287" s="11"/>
      <c r="D287" s="45" t="s">
        <v>2</v>
      </c>
      <c r="E287" s="44">
        <v>563000</v>
      </c>
    </row>
    <row r="288" spans="1:5" s="37" customFormat="1" ht="22.5" customHeight="1" x14ac:dyDescent="0.25">
      <c r="A288" s="12"/>
      <c r="B288" s="12"/>
      <c r="C288" s="12"/>
      <c r="D288" s="12"/>
      <c r="E288" s="43">
        <f>SUM(E284:E287)</f>
        <v>2182229</v>
      </c>
    </row>
    <row r="289" spans="1:5" s="37" customFormat="1" ht="22.5" customHeight="1" x14ac:dyDescent="0.25">
      <c r="A289" s="11" t="s">
        <v>129</v>
      </c>
      <c r="B289" s="11" t="s">
        <v>374</v>
      </c>
      <c r="C289" s="11" t="s">
        <v>131</v>
      </c>
      <c r="D289" s="21" t="s">
        <v>56</v>
      </c>
      <c r="E289" s="44">
        <f>187751+176771+191570+182053+188484+201243+66000+165550+198173</f>
        <v>1557595</v>
      </c>
    </row>
    <row r="290" spans="1:5" s="37" customFormat="1" ht="22.5" customHeight="1" x14ac:dyDescent="0.25">
      <c r="A290" s="11"/>
      <c r="B290" s="11"/>
      <c r="C290" s="11"/>
      <c r="D290" s="45" t="s">
        <v>1</v>
      </c>
      <c r="E290" s="44">
        <f>139248+103432+134987+37628</f>
        <v>415295</v>
      </c>
    </row>
    <row r="291" spans="1:5" s="37" customFormat="1" ht="22.5" customHeight="1" x14ac:dyDescent="0.25">
      <c r="A291" s="11"/>
      <c r="B291" s="11"/>
      <c r="C291" s="11"/>
      <c r="D291" s="21" t="s">
        <v>40</v>
      </c>
      <c r="E291" s="44">
        <v>70472</v>
      </c>
    </row>
    <row r="292" spans="1:5" s="37" customFormat="1" ht="22.5" customHeight="1" x14ac:dyDescent="0.25">
      <c r="A292" s="11"/>
      <c r="B292" s="11"/>
      <c r="C292" s="11"/>
      <c r="D292" s="45" t="s">
        <v>2</v>
      </c>
      <c r="E292" s="44">
        <v>195011</v>
      </c>
    </row>
    <row r="293" spans="1:5" s="37" customFormat="1" ht="22.5" customHeight="1" x14ac:dyDescent="0.25">
      <c r="A293" s="12"/>
      <c r="B293" s="12"/>
      <c r="C293" s="12"/>
      <c r="D293" s="12"/>
      <c r="E293" s="43">
        <f>SUM(E289:E292)</f>
        <v>2238373</v>
      </c>
    </row>
    <row r="294" spans="1:5" s="37" customFormat="1" ht="22.5" customHeight="1" x14ac:dyDescent="0.25">
      <c r="A294" s="11" t="s">
        <v>19</v>
      </c>
      <c r="B294" s="11" t="s">
        <v>375</v>
      </c>
      <c r="C294" s="11" t="s">
        <v>132</v>
      </c>
      <c r="D294" s="45" t="s">
        <v>1</v>
      </c>
      <c r="E294" s="44">
        <f>249569+225164+249345+248916+248912+251187+248330+250607</f>
        <v>1972030</v>
      </c>
    </row>
    <row r="295" spans="1:5" s="37" customFormat="1" ht="22.5" customHeight="1" x14ac:dyDescent="0.25">
      <c r="A295" s="11"/>
      <c r="B295" s="11"/>
      <c r="C295" s="11"/>
      <c r="D295" s="21" t="s">
        <v>40</v>
      </c>
      <c r="E295" s="44">
        <v>267424</v>
      </c>
    </row>
    <row r="296" spans="1:5" s="37" customFormat="1" ht="22.5" customHeight="1" x14ac:dyDescent="0.25">
      <c r="A296" s="11"/>
      <c r="B296" s="11"/>
      <c r="C296" s="11"/>
      <c r="D296" s="21" t="s">
        <v>2</v>
      </c>
      <c r="E296" s="44">
        <v>81551</v>
      </c>
    </row>
    <row r="297" spans="1:5" s="37" customFormat="1" ht="22.5" customHeight="1" x14ac:dyDescent="0.25">
      <c r="A297" s="12"/>
      <c r="B297" s="12"/>
      <c r="C297" s="12"/>
      <c r="D297" s="12"/>
      <c r="E297" s="43">
        <f>SUM(E294:E296)</f>
        <v>2321005</v>
      </c>
    </row>
    <row r="298" spans="1:5" s="38" customFormat="1" ht="22.5" customHeight="1" x14ac:dyDescent="0.25">
      <c r="A298" s="18" t="s">
        <v>47</v>
      </c>
      <c r="B298" s="18"/>
      <c r="C298" s="18"/>
      <c r="D298" s="18"/>
      <c r="E298" s="42">
        <f t="shared" ref="E298" si="9">E274+E270+E297+E293+E288+E283+E278</f>
        <v>21600998</v>
      </c>
    </row>
    <row r="299" spans="1:5" s="37" customFormat="1" ht="22.5" customHeight="1" x14ac:dyDescent="0.25">
      <c r="A299" s="9" t="s">
        <v>184</v>
      </c>
      <c r="B299" s="9" t="s">
        <v>477</v>
      </c>
      <c r="C299" s="9" t="s">
        <v>185</v>
      </c>
      <c r="D299" s="14" t="s">
        <v>1</v>
      </c>
      <c r="E299" s="43">
        <v>2000000</v>
      </c>
    </row>
    <row r="300" spans="1:5" s="37" customFormat="1" ht="22.5" customHeight="1" x14ac:dyDescent="0.25">
      <c r="A300" s="9"/>
      <c r="B300" s="9"/>
      <c r="C300" s="9"/>
      <c r="D300" s="9" t="s">
        <v>40</v>
      </c>
      <c r="E300" s="43">
        <v>1000000</v>
      </c>
    </row>
    <row r="301" spans="1:5" s="37" customFormat="1" ht="22.5" customHeight="1" x14ac:dyDescent="0.25">
      <c r="A301" s="10"/>
      <c r="B301" s="10"/>
      <c r="C301" s="10"/>
      <c r="D301" s="10" t="s">
        <v>153</v>
      </c>
      <c r="E301" s="40">
        <v>600000</v>
      </c>
    </row>
    <row r="302" spans="1:5" s="37" customFormat="1" ht="22.5" customHeight="1" x14ac:dyDescent="0.25">
      <c r="A302" s="12" t="s">
        <v>31</v>
      </c>
      <c r="B302" s="12"/>
      <c r="C302" s="12"/>
      <c r="D302" s="12"/>
      <c r="E302" s="42">
        <f>SUM(E299:E301)</f>
        <v>3600000</v>
      </c>
    </row>
    <row r="303" spans="1:5" s="37" customFormat="1" ht="24.75" customHeight="1" x14ac:dyDescent="0.25">
      <c r="A303" s="9" t="s">
        <v>184</v>
      </c>
      <c r="B303" s="9" t="s">
        <v>478</v>
      </c>
      <c r="C303" s="9" t="s">
        <v>186</v>
      </c>
      <c r="D303" s="14" t="s">
        <v>1</v>
      </c>
      <c r="E303" s="43">
        <v>1500000</v>
      </c>
    </row>
    <row r="304" spans="1:5" s="37" customFormat="1" ht="22.5" customHeight="1" x14ac:dyDescent="0.25">
      <c r="A304" s="12" t="s">
        <v>31</v>
      </c>
      <c r="B304" s="12"/>
      <c r="C304" s="12"/>
      <c r="D304" s="12"/>
      <c r="E304" s="42">
        <f>SUM(E303)</f>
        <v>1500000</v>
      </c>
    </row>
    <row r="305" spans="1:5" s="37" customFormat="1" ht="22.5" customHeight="1" x14ac:dyDescent="0.25">
      <c r="A305" s="9" t="s">
        <v>7</v>
      </c>
      <c r="B305" s="29" t="s">
        <v>479</v>
      </c>
      <c r="C305" s="34" t="s">
        <v>297</v>
      </c>
      <c r="D305" s="14" t="s">
        <v>1</v>
      </c>
      <c r="E305" s="43">
        <v>2500000</v>
      </c>
    </row>
    <row r="306" spans="1:5" s="37" customFormat="1" ht="22.5" customHeight="1" x14ac:dyDescent="0.25">
      <c r="A306" s="12" t="s">
        <v>31</v>
      </c>
      <c r="B306" s="12"/>
      <c r="C306" s="12"/>
      <c r="D306" s="12"/>
      <c r="E306" s="42">
        <f>SUM(E305)</f>
        <v>2500000</v>
      </c>
    </row>
    <row r="307" spans="1:5" s="37" customFormat="1" ht="22.5" customHeight="1" x14ac:dyDescent="0.25">
      <c r="A307" s="9" t="s">
        <v>7</v>
      </c>
      <c r="B307" s="29" t="s">
        <v>480</v>
      </c>
      <c r="C307" s="34" t="s">
        <v>187</v>
      </c>
      <c r="D307" s="65" t="s">
        <v>0</v>
      </c>
      <c r="E307" s="43">
        <v>1500000</v>
      </c>
    </row>
    <row r="308" spans="1:5" s="37" customFormat="1" ht="22.5" customHeight="1" x14ac:dyDescent="0.25">
      <c r="A308" s="12" t="s">
        <v>31</v>
      </c>
      <c r="B308" s="12"/>
      <c r="C308" s="12"/>
      <c r="D308" s="12"/>
      <c r="E308" s="42">
        <f>SUM(E307)</f>
        <v>1500000</v>
      </c>
    </row>
    <row r="309" spans="1:5" s="37" customFormat="1" ht="22.5" customHeight="1" x14ac:dyDescent="0.25">
      <c r="A309" s="9" t="s">
        <v>7</v>
      </c>
      <c r="B309" s="29" t="s">
        <v>481</v>
      </c>
      <c r="C309" s="34" t="s">
        <v>188</v>
      </c>
      <c r="D309" s="65" t="s">
        <v>0</v>
      </c>
      <c r="E309" s="43">
        <v>1500000</v>
      </c>
    </row>
    <row r="310" spans="1:5" s="37" customFormat="1" ht="22.5" customHeight="1" x14ac:dyDescent="0.25">
      <c r="A310" s="12" t="s">
        <v>31</v>
      </c>
      <c r="B310" s="12"/>
      <c r="C310" s="12"/>
      <c r="D310" s="12"/>
      <c r="E310" s="42">
        <f>SUM(E309)</f>
        <v>1500000</v>
      </c>
    </row>
    <row r="311" spans="1:5" s="37" customFormat="1" ht="22.5" customHeight="1" x14ac:dyDescent="0.25">
      <c r="A311" s="9" t="s">
        <v>7</v>
      </c>
      <c r="B311" s="29" t="s">
        <v>482</v>
      </c>
      <c r="C311" s="34" t="s">
        <v>189</v>
      </c>
      <c r="D311" s="65" t="s">
        <v>0</v>
      </c>
      <c r="E311" s="43">
        <v>1500000</v>
      </c>
    </row>
    <row r="312" spans="1:5" s="37" customFormat="1" ht="22.5" customHeight="1" x14ac:dyDescent="0.25">
      <c r="A312" s="12" t="s">
        <v>31</v>
      </c>
      <c r="B312" s="12"/>
      <c r="C312" s="12"/>
      <c r="D312" s="12"/>
      <c r="E312" s="42">
        <f>SUM(E311)</f>
        <v>1500000</v>
      </c>
    </row>
    <row r="313" spans="1:5" s="37" customFormat="1" ht="22.5" customHeight="1" x14ac:dyDescent="0.25">
      <c r="A313" s="9" t="s">
        <v>7</v>
      </c>
      <c r="B313" s="29" t="s">
        <v>483</v>
      </c>
      <c r="C313" s="34" t="s">
        <v>190</v>
      </c>
      <c r="D313" s="65" t="s">
        <v>0</v>
      </c>
      <c r="E313" s="43">
        <v>1000000</v>
      </c>
    </row>
    <row r="314" spans="1:5" s="37" customFormat="1" ht="22.5" customHeight="1" x14ac:dyDescent="0.25">
      <c r="A314" s="12" t="s">
        <v>31</v>
      </c>
      <c r="B314" s="12"/>
      <c r="C314" s="12"/>
      <c r="D314" s="12"/>
      <c r="E314" s="42">
        <f>SUM(E313)</f>
        <v>1000000</v>
      </c>
    </row>
    <row r="315" spans="1:5" s="38" customFormat="1" ht="22.5" customHeight="1" x14ac:dyDescent="0.25">
      <c r="A315" s="18" t="s">
        <v>47</v>
      </c>
      <c r="B315" s="18"/>
      <c r="C315" s="18"/>
      <c r="D315" s="18"/>
      <c r="E315" s="42">
        <f t="shared" ref="E315" si="10">E314+E312+E310+E308+E306+E304+E302</f>
        <v>13100000</v>
      </c>
    </row>
    <row r="316" spans="1:5" s="37" customFormat="1" ht="22.5" customHeight="1" x14ac:dyDescent="0.25">
      <c r="A316" s="9" t="s">
        <v>21</v>
      </c>
      <c r="B316" s="9" t="s">
        <v>376</v>
      </c>
      <c r="C316" s="9" t="s">
        <v>90</v>
      </c>
      <c r="D316" s="9" t="s">
        <v>0</v>
      </c>
      <c r="E316" s="44">
        <v>450000</v>
      </c>
    </row>
    <row r="317" spans="1:5" s="37" customFormat="1" ht="22.5" customHeight="1" x14ac:dyDescent="0.25">
      <c r="A317" s="9" t="s">
        <v>45</v>
      </c>
      <c r="B317" s="9" t="s">
        <v>377</v>
      </c>
      <c r="C317" s="9" t="s">
        <v>91</v>
      </c>
      <c r="D317" s="9" t="s">
        <v>0</v>
      </c>
      <c r="E317" s="44">
        <v>250000</v>
      </c>
    </row>
    <row r="318" spans="1:5" s="38" customFormat="1" ht="22.5" customHeight="1" x14ac:dyDescent="0.25">
      <c r="A318" s="18"/>
      <c r="B318" s="18"/>
      <c r="C318" s="18"/>
      <c r="D318" s="18"/>
      <c r="E318" s="42">
        <f>E317+E316</f>
        <v>700000</v>
      </c>
    </row>
    <row r="319" spans="1:5" s="37" customFormat="1" ht="22.5" customHeight="1" x14ac:dyDescent="0.25">
      <c r="A319" s="9" t="s">
        <v>52</v>
      </c>
      <c r="B319" s="9" t="s">
        <v>379</v>
      </c>
      <c r="C319" s="9" t="s">
        <v>172</v>
      </c>
      <c r="D319" s="9" t="s">
        <v>0</v>
      </c>
      <c r="E319" s="43">
        <v>5500000</v>
      </c>
    </row>
    <row r="320" spans="1:5" s="37" customFormat="1" ht="22.5" customHeight="1" x14ac:dyDescent="0.25">
      <c r="A320" s="12" t="s">
        <v>31</v>
      </c>
      <c r="B320" s="12"/>
      <c r="C320" s="12"/>
      <c r="D320" s="12"/>
      <c r="E320" s="42">
        <f>SUM(E319)</f>
        <v>5500000</v>
      </c>
    </row>
    <row r="321" spans="1:5" s="37" customFormat="1" ht="22.5" customHeight="1" x14ac:dyDescent="0.25">
      <c r="A321" s="9" t="s">
        <v>52</v>
      </c>
      <c r="B321" s="9" t="s">
        <v>378</v>
      </c>
      <c r="C321" s="9" t="s">
        <v>173</v>
      </c>
      <c r="D321" s="9" t="s">
        <v>0</v>
      </c>
      <c r="E321" s="43">
        <v>6500000</v>
      </c>
    </row>
    <row r="322" spans="1:5" s="37" customFormat="1" ht="22.5" customHeight="1" x14ac:dyDescent="0.25">
      <c r="A322" s="12" t="s">
        <v>31</v>
      </c>
      <c r="B322" s="12"/>
      <c r="C322" s="12"/>
      <c r="D322" s="12"/>
      <c r="E322" s="42">
        <f>SUM(E321)</f>
        <v>6500000</v>
      </c>
    </row>
    <row r="323" spans="1:5" s="37" customFormat="1" ht="22.5" customHeight="1" x14ac:dyDescent="0.25">
      <c r="A323" s="9" t="s">
        <v>175</v>
      </c>
      <c r="B323" s="9" t="s">
        <v>484</v>
      </c>
      <c r="C323" s="9" t="s">
        <v>174</v>
      </c>
      <c r="D323" s="9" t="s">
        <v>1</v>
      </c>
      <c r="E323" s="43">
        <v>4500000</v>
      </c>
    </row>
    <row r="324" spans="1:5" s="37" customFormat="1" ht="22.5" customHeight="1" x14ac:dyDescent="0.25">
      <c r="A324" s="12" t="s">
        <v>31</v>
      </c>
      <c r="B324" s="12"/>
      <c r="C324" s="12"/>
      <c r="D324" s="12"/>
      <c r="E324" s="42">
        <f>SUM(E323)</f>
        <v>4500000</v>
      </c>
    </row>
    <row r="325" spans="1:5" s="37" customFormat="1" ht="22.5" customHeight="1" x14ac:dyDescent="0.25">
      <c r="A325" s="9" t="s">
        <v>52</v>
      </c>
      <c r="B325" s="9" t="s">
        <v>378</v>
      </c>
      <c r="C325" s="9" t="s">
        <v>92</v>
      </c>
      <c r="D325" s="9" t="s">
        <v>76</v>
      </c>
      <c r="E325" s="44">
        <v>2188695</v>
      </c>
    </row>
    <row r="326" spans="1:5" s="37" customFormat="1" ht="22.5" customHeight="1" x14ac:dyDescent="0.25">
      <c r="A326" s="12" t="s">
        <v>31</v>
      </c>
      <c r="B326" s="12"/>
      <c r="C326" s="12"/>
      <c r="D326" s="12"/>
      <c r="E326" s="44">
        <f>E325</f>
        <v>2188695</v>
      </c>
    </row>
    <row r="327" spans="1:5" s="37" customFormat="1" ht="22.5" customHeight="1" x14ac:dyDescent="0.25">
      <c r="A327" s="9" t="s">
        <v>52</v>
      </c>
      <c r="B327" s="9" t="s">
        <v>379</v>
      </c>
      <c r="C327" s="9" t="s">
        <v>93</v>
      </c>
      <c r="D327" s="9" t="s">
        <v>76</v>
      </c>
      <c r="E327" s="44">
        <v>3546992</v>
      </c>
    </row>
    <row r="328" spans="1:5" s="37" customFormat="1" ht="22.5" customHeight="1" x14ac:dyDescent="0.25">
      <c r="A328" s="12" t="s">
        <v>31</v>
      </c>
      <c r="B328" s="12"/>
      <c r="C328" s="12"/>
      <c r="D328" s="12"/>
      <c r="E328" s="44">
        <f>E327</f>
        <v>3546992</v>
      </c>
    </row>
    <row r="329" spans="1:5" s="37" customFormat="1" ht="22.5" customHeight="1" x14ac:dyDescent="0.25">
      <c r="A329" s="9" t="s">
        <v>145</v>
      </c>
      <c r="B329" s="9" t="s">
        <v>380</v>
      </c>
      <c r="C329" s="9" t="s">
        <v>146</v>
      </c>
      <c r="D329" s="9" t="s">
        <v>1</v>
      </c>
      <c r="E329" s="44">
        <v>26523</v>
      </c>
    </row>
    <row r="330" spans="1:5" s="37" customFormat="1" ht="22.5" customHeight="1" x14ac:dyDescent="0.25">
      <c r="A330" s="12" t="s">
        <v>31</v>
      </c>
      <c r="B330" s="12"/>
      <c r="C330" s="12"/>
      <c r="D330" s="12"/>
      <c r="E330" s="44">
        <f>E329</f>
        <v>26523</v>
      </c>
    </row>
    <row r="331" spans="1:5" s="38" customFormat="1" ht="22.5" customHeight="1" x14ac:dyDescent="0.25">
      <c r="A331" s="18" t="s">
        <v>47</v>
      </c>
      <c r="B331" s="18"/>
      <c r="C331" s="18"/>
      <c r="D331" s="18"/>
      <c r="E331" s="42">
        <f t="shared" ref="E331" si="11">E324+E322+E320+E330+E328+E326</f>
        <v>22262210</v>
      </c>
    </row>
    <row r="332" spans="1:5" s="37" customFormat="1" ht="21.75" customHeight="1" x14ac:dyDescent="0.25">
      <c r="A332" s="9" t="s">
        <v>202</v>
      </c>
      <c r="B332" s="9" t="s">
        <v>485</v>
      </c>
      <c r="C332" s="9" t="s">
        <v>329</v>
      </c>
      <c r="D332" s="9" t="s">
        <v>1</v>
      </c>
      <c r="E332" s="43">
        <v>8000000</v>
      </c>
    </row>
    <row r="333" spans="1:5" s="37" customFormat="1" ht="22.5" customHeight="1" x14ac:dyDescent="0.25">
      <c r="A333" s="12" t="s">
        <v>31</v>
      </c>
      <c r="B333" s="12"/>
      <c r="C333" s="12"/>
      <c r="D333" s="12"/>
      <c r="E333" s="42">
        <f>SUM(E332)</f>
        <v>8000000</v>
      </c>
    </row>
    <row r="334" spans="1:5" s="37" customFormat="1" ht="22.5" customHeight="1" x14ac:dyDescent="0.25">
      <c r="A334" s="9" t="s">
        <v>202</v>
      </c>
      <c r="B334" s="9" t="s">
        <v>486</v>
      </c>
      <c r="C334" s="9" t="s">
        <v>203</v>
      </c>
      <c r="D334" s="9" t="s">
        <v>1</v>
      </c>
      <c r="E334" s="43">
        <v>3500000</v>
      </c>
    </row>
    <row r="335" spans="1:5" s="37" customFormat="1" ht="22.5" customHeight="1" x14ac:dyDescent="0.25">
      <c r="A335" s="12" t="s">
        <v>31</v>
      </c>
      <c r="B335" s="12"/>
      <c r="C335" s="12"/>
      <c r="D335" s="12"/>
      <c r="E335" s="42">
        <f>SUM(E334)</f>
        <v>3500000</v>
      </c>
    </row>
    <row r="336" spans="1:5" s="37" customFormat="1" ht="30" customHeight="1" x14ac:dyDescent="0.25">
      <c r="A336" s="9" t="s">
        <v>202</v>
      </c>
      <c r="B336" s="9" t="s">
        <v>487</v>
      </c>
      <c r="C336" s="9" t="s">
        <v>328</v>
      </c>
      <c r="D336" s="9" t="s">
        <v>1</v>
      </c>
      <c r="E336" s="43">
        <v>3000000</v>
      </c>
    </row>
    <row r="337" spans="1:5" s="37" customFormat="1" ht="22.5" customHeight="1" x14ac:dyDescent="0.25">
      <c r="A337" s="12" t="s">
        <v>31</v>
      </c>
      <c r="B337" s="12"/>
      <c r="C337" s="12"/>
      <c r="D337" s="12"/>
      <c r="E337" s="42">
        <f>SUM(E336)</f>
        <v>3000000</v>
      </c>
    </row>
    <row r="338" spans="1:5" s="38" customFormat="1" ht="22.5" customHeight="1" x14ac:dyDescent="0.25">
      <c r="A338" s="18" t="s">
        <v>47</v>
      </c>
      <c r="B338" s="18"/>
      <c r="C338" s="18"/>
      <c r="D338" s="18"/>
      <c r="E338" s="42">
        <f>E337+E335+E333</f>
        <v>14500000</v>
      </c>
    </row>
    <row r="339" spans="1:5" s="37" customFormat="1" ht="22.5" customHeight="1" x14ac:dyDescent="0.25">
      <c r="A339" s="9" t="s">
        <v>23</v>
      </c>
      <c r="B339" s="9" t="s">
        <v>557</v>
      </c>
      <c r="C339" s="9" t="s">
        <v>560</v>
      </c>
      <c r="D339" s="21" t="s">
        <v>40</v>
      </c>
      <c r="E339" s="44">
        <v>78818</v>
      </c>
    </row>
    <row r="340" spans="1:5" s="37" customFormat="1" ht="22.5" customHeight="1" x14ac:dyDescent="0.25">
      <c r="A340" s="12"/>
      <c r="B340" s="12"/>
      <c r="C340" s="12"/>
      <c r="D340" s="12"/>
      <c r="E340" s="47">
        <f>E339</f>
        <v>78818</v>
      </c>
    </row>
    <row r="341" spans="1:5" s="37" customFormat="1" ht="22.5" customHeight="1" x14ac:dyDescent="0.25">
      <c r="A341" s="9" t="s">
        <v>51</v>
      </c>
      <c r="B341" s="9" t="s">
        <v>381</v>
      </c>
      <c r="C341" s="9" t="s">
        <v>94</v>
      </c>
      <c r="D341" s="14" t="s">
        <v>0</v>
      </c>
      <c r="E341" s="44">
        <v>939348</v>
      </c>
    </row>
    <row r="342" spans="1:5" s="37" customFormat="1" ht="22.5" customHeight="1" x14ac:dyDescent="0.25">
      <c r="A342" s="12" t="s">
        <v>31</v>
      </c>
      <c r="B342" s="12"/>
      <c r="C342" s="12"/>
      <c r="D342" s="12"/>
      <c r="E342" s="47">
        <f>SUM(E341)</f>
        <v>939348</v>
      </c>
    </row>
    <row r="343" spans="1:5" s="37" customFormat="1" ht="22.5" customHeight="1" x14ac:dyDescent="0.25">
      <c r="A343" s="11" t="s">
        <v>22</v>
      </c>
      <c r="B343" s="11" t="s">
        <v>382</v>
      </c>
      <c r="C343" s="11" t="s">
        <v>125</v>
      </c>
      <c r="D343" s="14" t="s">
        <v>0</v>
      </c>
      <c r="E343" s="44">
        <v>574430</v>
      </c>
    </row>
    <row r="344" spans="1:5" s="37" customFormat="1" ht="22.5" customHeight="1" x14ac:dyDescent="0.25">
      <c r="A344" s="11"/>
      <c r="B344" s="11"/>
      <c r="C344" s="11"/>
      <c r="D344" s="21" t="s">
        <v>40</v>
      </c>
      <c r="E344" s="67">
        <v>450000</v>
      </c>
    </row>
    <row r="345" spans="1:5" s="37" customFormat="1" ht="22.5" customHeight="1" x14ac:dyDescent="0.25">
      <c r="A345" s="11"/>
      <c r="B345" s="11"/>
      <c r="C345" s="11"/>
      <c r="D345" s="21" t="s">
        <v>2</v>
      </c>
      <c r="E345" s="67"/>
    </row>
    <row r="346" spans="1:5" s="37" customFormat="1" ht="22.5" customHeight="1" x14ac:dyDescent="0.25">
      <c r="A346" s="12" t="s">
        <v>31</v>
      </c>
      <c r="B346" s="12"/>
      <c r="C346" s="12"/>
      <c r="D346" s="12"/>
      <c r="E346" s="47">
        <f>SUM(E343:E345)</f>
        <v>1024430</v>
      </c>
    </row>
    <row r="347" spans="1:5" s="37" customFormat="1" ht="22.5" customHeight="1" x14ac:dyDescent="0.25">
      <c r="A347" s="11" t="s">
        <v>23</v>
      </c>
      <c r="B347" s="11" t="s">
        <v>383</v>
      </c>
      <c r="C347" s="11" t="s">
        <v>126</v>
      </c>
      <c r="D347" s="14" t="s">
        <v>0</v>
      </c>
      <c r="E347" s="44">
        <v>2098483</v>
      </c>
    </row>
    <row r="348" spans="1:5" s="37" customFormat="1" ht="22.5" customHeight="1" x14ac:dyDescent="0.25">
      <c r="A348" s="11"/>
      <c r="B348" s="11"/>
      <c r="C348" s="11"/>
      <c r="D348" s="21" t="s">
        <v>40</v>
      </c>
      <c r="E348" s="67">
        <v>220014</v>
      </c>
    </row>
    <row r="349" spans="1:5" s="37" customFormat="1" ht="22.5" customHeight="1" x14ac:dyDescent="0.25">
      <c r="A349" s="11"/>
      <c r="B349" s="11"/>
      <c r="C349" s="11"/>
      <c r="D349" s="21" t="s">
        <v>2</v>
      </c>
      <c r="E349" s="67"/>
    </row>
    <row r="350" spans="1:5" s="37" customFormat="1" ht="22.5" customHeight="1" x14ac:dyDescent="0.25">
      <c r="A350" s="12" t="s">
        <v>31</v>
      </c>
      <c r="B350" s="12"/>
      <c r="C350" s="12"/>
      <c r="D350" s="12"/>
      <c r="E350" s="47">
        <f>SUM(E347:E349)</f>
        <v>2318497</v>
      </c>
    </row>
    <row r="351" spans="1:5" s="38" customFormat="1" ht="22.5" customHeight="1" x14ac:dyDescent="0.25">
      <c r="A351" s="18" t="s">
        <v>47</v>
      </c>
      <c r="B351" s="18"/>
      <c r="C351" s="18"/>
      <c r="D351" s="18"/>
      <c r="E351" s="42">
        <f>E350+E346+E342+E340</f>
        <v>4361093</v>
      </c>
    </row>
    <row r="352" spans="1:5" s="37" customFormat="1" ht="22.5" customHeight="1" x14ac:dyDescent="0.25">
      <c r="A352" s="9" t="s">
        <v>199</v>
      </c>
      <c r="B352" s="9" t="s">
        <v>488</v>
      </c>
      <c r="C352" s="9" t="s">
        <v>327</v>
      </c>
      <c r="D352" s="9" t="s">
        <v>1</v>
      </c>
      <c r="E352" s="43">
        <v>2500000</v>
      </c>
    </row>
    <row r="353" spans="1:5" s="37" customFormat="1" ht="22.5" customHeight="1" x14ac:dyDescent="0.25">
      <c r="A353" s="9"/>
      <c r="B353" s="9"/>
      <c r="C353" s="9"/>
      <c r="D353" s="9" t="s">
        <v>40</v>
      </c>
      <c r="E353" s="43">
        <v>84000</v>
      </c>
    </row>
    <row r="354" spans="1:5" s="37" customFormat="1" ht="22.5" customHeight="1" x14ac:dyDescent="0.25">
      <c r="A354" s="10"/>
      <c r="B354" s="10"/>
      <c r="C354" s="10"/>
      <c r="D354" s="10" t="s">
        <v>153</v>
      </c>
      <c r="E354" s="40">
        <v>90000</v>
      </c>
    </row>
    <row r="355" spans="1:5" s="37" customFormat="1" ht="22.5" customHeight="1" x14ac:dyDescent="0.25">
      <c r="A355" s="12" t="s">
        <v>31</v>
      </c>
      <c r="B355" s="12"/>
      <c r="C355" s="12"/>
      <c r="D355" s="12"/>
      <c r="E355" s="42">
        <f>SUM(E352:E354)</f>
        <v>2674000</v>
      </c>
    </row>
    <row r="356" spans="1:5" s="37" customFormat="1" ht="22.5" customHeight="1" x14ac:dyDescent="0.25">
      <c r="A356" s="9" t="s">
        <v>200</v>
      </c>
      <c r="B356" s="9" t="s">
        <v>489</v>
      </c>
      <c r="C356" s="9" t="s">
        <v>201</v>
      </c>
      <c r="D356" s="9" t="s">
        <v>1</v>
      </c>
      <c r="E356" s="43">
        <v>7000000</v>
      </c>
    </row>
    <row r="357" spans="1:5" s="37" customFormat="1" ht="22.5" customHeight="1" x14ac:dyDescent="0.25">
      <c r="A357" s="9"/>
      <c r="B357" s="9"/>
      <c r="C357" s="9"/>
      <c r="D357" s="9" t="s">
        <v>40</v>
      </c>
      <c r="E357" s="43">
        <v>180000</v>
      </c>
    </row>
    <row r="358" spans="1:5" s="37" customFormat="1" ht="24" customHeight="1" x14ac:dyDescent="0.25">
      <c r="A358" s="12" t="s">
        <v>31</v>
      </c>
      <c r="B358" s="12"/>
      <c r="C358" s="12"/>
      <c r="D358" s="12"/>
      <c r="E358" s="42">
        <f>SUM(E356:E357)</f>
        <v>7180000</v>
      </c>
    </row>
    <row r="359" spans="1:5" s="38" customFormat="1" ht="22.5" customHeight="1" x14ac:dyDescent="0.25">
      <c r="A359" s="18" t="s">
        <v>47</v>
      </c>
      <c r="B359" s="18"/>
      <c r="C359" s="18"/>
      <c r="D359" s="18"/>
      <c r="E359" s="42">
        <f t="shared" ref="E359" si="12">E358+E355</f>
        <v>9854000</v>
      </c>
    </row>
    <row r="360" spans="1:5" s="37" customFormat="1" ht="22.5" customHeight="1" x14ac:dyDescent="0.25">
      <c r="A360" s="9" t="s">
        <v>7</v>
      </c>
      <c r="B360" s="9" t="s">
        <v>490</v>
      </c>
      <c r="C360" s="9" t="s">
        <v>249</v>
      </c>
      <c r="D360" s="9" t="s">
        <v>40</v>
      </c>
      <c r="E360" s="43">
        <v>750000</v>
      </c>
    </row>
    <row r="361" spans="1:5" s="37" customFormat="1" ht="33.75" customHeight="1" x14ac:dyDescent="0.25">
      <c r="A361" s="12" t="s">
        <v>31</v>
      </c>
      <c r="B361" s="12"/>
      <c r="C361" s="12"/>
      <c r="D361" s="12"/>
      <c r="E361" s="42">
        <f>SUM(E360)</f>
        <v>750000</v>
      </c>
    </row>
    <row r="362" spans="1:5" s="37" customFormat="1" ht="22.5" customHeight="1" x14ac:dyDescent="0.25">
      <c r="A362" s="9" t="s">
        <v>7</v>
      </c>
      <c r="B362" s="25" t="s">
        <v>491</v>
      </c>
      <c r="C362" s="9" t="s">
        <v>250</v>
      </c>
      <c r="D362" s="9" t="s">
        <v>40</v>
      </c>
      <c r="E362" s="43">
        <v>450000</v>
      </c>
    </row>
    <row r="363" spans="1:5" s="37" customFormat="1" ht="22.5" customHeight="1" x14ac:dyDescent="0.25">
      <c r="A363" s="10"/>
      <c r="B363" s="10"/>
      <c r="C363" s="10"/>
      <c r="D363" s="10" t="s">
        <v>153</v>
      </c>
      <c r="E363" s="40">
        <v>140000</v>
      </c>
    </row>
    <row r="364" spans="1:5" s="37" customFormat="1" ht="34.5" customHeight="1" x14ac:dyDescent="0.25">
      <c r="A364" s="12" t="s">
        <v>31</v>
      </c>
      <c r="B364" s="12"/>
      <c r="C364" s="12"/>
      <c r="D364" s="12"/>
      <c r="E364" s="42">
        <f>SUM(E362:E363)</f>
        <v>590000</v>
      </c>
    </row>
    <row r="365" spans="1:5" s="37" customFormat="1" ht="22.5" customHeight="1" x14ac:dyDescent="0.25">
      <c r="A365" s="9" t="s">
        <v>7</v>
      </c>
      <c r="B365" s="9" t="s">
        <v>492</v>
      </c>
      <c r="C365" s="9" t="s">
        <v>251</v>
      </c>
      <c r="D365" s="9" t="s">
        <v>40</v>
      </c>
      <c r="E365" s="43">
        <v>765000</v>
      </c>
    </row>
    <row r="366" spans="1:5" s="37" customFormat="1" ht="34.5" customHeight="1" x14ac:dyDescent="0.25">
      <c r="A366" s="12" t="s">
        <v>31</v>
      </c>
      <c r="B366" s="12"/>
      <c r="C366" s="12"/>
      <c r="D366" s="12"/>
      <c r="E366" s="42">
        <f>SUM(E365)</f>
        <v>765000</v>
      </c>
    </row>
    <row r="367" spans="1:5" s="37" customFormat="1" ht="22.5" customHeight="1" x14ac:dyDescent="0.25">
      <c r="A367" s="9" t="s">
        <v>7</v>
      </c>
      <c r="B367" s="9" t="s">
        <v>493</v>
      </c>
      <c r="C367" s="9" t="s">
        <v>252</v>
      </c>
      <c r="D367" s="9" t="s">
        <v>40</v>
      </c>
      <c r="E367" s="43">
        <v>771000</v>
      </c>
    </row>
    <row r="368" spans="1:5" s="37" customFormat="1" ht="22.5" customHeight="1" x14ac:dyDescent="0.25">
      <c r="A368" s="10"/>
      <c r="B368" s="10"/>
      <c r="C368" s="10"/>
      <c r="D368" s="10" t="s">
        <v>153</v>
      </c>
      <c r="E368" s="40">
        <v>117000</v>
      </c>
    </row>
    <row r="369" spans="1:5" s="37" customFormat="1" ht="23.25" customHeight="1" x14ac:dyDescent="0.25">
      <c r="A369" s="12" t="s">
        <v>31</v>
      </c>
      <c r="B369" s="12"/>
      <c r="C369" s="12"/>
      <c r="D369" s="12"/>
      <c r="E369" s="42">
        <f>SUM(E367:E368)</f>
        <v>888000</v>
      </c>
    </row>
    <row r="370" spans="1:5" s="37" customFormat="1" ht="22.5" customHeight="1" x14ac:dyDescent="0.25">
      <c r="A370" s="9" t="s">
        <v>7</v>
      </c>
      <c r="B370" s="9" t="s">
        <v>494</v>
      </c>
      <c r="C370" s="9" t="s">
        <v>253</v>
      </c>
      <c r="D370" s="9" t="s">
        <v>40</v>
      </c>
      <c r="E370" s="43">
        <v>813000</v>
      </c>
    </row>
    <row r="371" spans="1:5" s="37" customFormat="1" ht="30.75" customHeight="1" x14ac:dyDescent="0.25">
      <c r="A371" s="12" t="s">
        <v>31</v>
      </c>
      <c r="B371" s="12"/>
      <c r="C371" s="12"/>
      <c r="D371" s="12"/>
      <c r="E371" s="42">
        <f>SUM(E370)</f>
        <v>813000</v>
      </c>
    </row>
    <row r="372" spans="1:5" s="37" customFormat="1" ht="33.75" customHeight="1" x14ac:dyDescent="0.25">
      <c r="A372" s="9" t="s">
        <v>7</v>
      </c>
      <c r="B372" s="9" t="s">
        <v>495</v>
      </c>
      <c r="C372" s="9" t="s">
        <v>254</v>
      </c>
      <c r="D372" s="9" t="s">
        <v>40</v>
      </c>
      <c r="E372" s="43">
        <v>825000</v>
      </c>
    </row>
    <row r="373" spans="1:5" s="37" customFormat="1" ht="31.5" customHeight="1" x14ac:dyDescent="0.25">
      <c r="A373" s="12" t="s">
        <v>31</v>
      </c>
      <c r="B373" s="12"/>
      <c r="C373" s="12"/>
      <c r="D373" s="12"/>
      <c r="E373" s="42">
        <f>SUM(E372)</f>
        <v>825000</v>
      </c>
    </row>
    <row r="374" spans="1:5" s="38" customFormat="1" ht="22.5" customHeight="1" x14ac:dyDescent="0.25">
      <c r="A374" s="18" t="s">
        <v>47</v>
      </c>
      <c r="B374" s="18"/>
      <c r="C374" s="18"/>
      <c r="D374" s="18"/>
      <c r="E374" s="42">
        <f>E373+E371+E369+E366+E364+E361</f>
        <v>4631000</v>
      </c>
    </row>
    <row r="375" spans="1:5" s="37" customFormat="1" ht="24" customHeight="1" x14ac:dyDescent="0.25">
      <c r="A375" s="9" t="s">
        <v>168</v>
      </c>
      <c r="B375" s="9" t="s">
        <v>496</v>
      </c>
      <c r="C375" s="9" t="s">
        <v>169</v>
      </c>
      <c r="D375" s="14" t="s">
        <v>0</v>
      </c>
      <c r="E375" s="43">
        <v>3000000</v>
      </c>
    </row>
    <row r="376" spans="1:5" s="37" customFormat="1" ht="22.5" customHeight="1" x14ac:dyDescent="0.25">
      <c r="A376" s="10"/>
      <c r="B376" s="10"/>
      <c r="C376" s="10"/>
      <c r="D376" s="20" t="s">
        <v>153</v>
      </c>
      <c r="E376" s="40">
        <v>300000</v>
      </c>
    </row>
    <row r="377" spans="1:5" s="37" customFormat="1" ht="22.5" customHeight="1" x14ac:dyDescent="0.25">
      <c r="A377" s="12" t="s">
        <v>31</v>
      </c>
      <c r="B377" s="12"/>
      <c r="C377" s="12"/>
      <c r="D377" s="12"/>
      <c r="E377" s="57">
        <f>SUM(E375:E376)</f>
        <v>3300000</v>
      </c>
    </row>
    <row r="378" spans="1:5" s="37" customFormat="1" ht="22.5" customHeight="1" x14ac:dyDescent="0.25">
      <c r="A378" s="9" t="s">
        <v>168</v>
      </c>
      <c r="B378" s="11" t="s">
        <v>497</v>
      </c>
      <c r="C378" s="11" t="s">
        <v>170</v>
      </c>
      <c r="D378" s="14" t="s">
        <v>0</v>
      </c>
      <c r="E378" s="47">
        <v>3000000</v>
      </c>
    </row>
    <row r="379" spans="1:5" s="37" customFormat="1" ht="22.5" customHeight="1" x14ac:dyDescent="0.25">
      <c r="A379" s="10"/>
      <c r="B379" s="17"/>
      <c r="C379" s="17"/>
      <c r="D379" s="50" t="s">
        <v>153</v>
      </c>
      <c r="E379" s="64">
        <v>300000</v>
      </c>
    </row>
    <row r="380" spans="1:5" s="37" customFormat="1" ht="22.5" customHeight="1" x14ac:dyDescent="0.25">
      <c r="A380" s="12" t="s">
        <v>31</v>
      </c>
      <c r="B380" s="12"/>
      <c r="C380" s="12"/>
      <c r="D380" s="12"/>
      <c r="E380" s="42">
        <f>SUM(E378:E379)</f>
        <v>3300000</v>
      </c>
    </row>
    <row r="381" spans="1:5" s="37" customFormat="1" ht="22.5" customHeight="1" x14ac:dyDescent="0.25">
      <c r="A381" s="9" t="s">
        <v>168</v>
      </c>
      <c r="B381" s="11" t="s">
        <v>498</v>
      </c>
      <c r="C381" s="11" t="s">
        <v>171</v>
      </c>
      <c r="D381" s="14" t="s">
        <v>0</v>
      </c>
      <c r="E381" s="47">
        <v>2200000</v>
      </c>
    </row>
    <row r="382" spans="1:5" s="37" customFormat="1" ht="22.5" customHeight="1" x14ac:dyDescent="0.25">
      <c r="A382" s="10"/>
      <c r="B382" s="17"/>
      <c r="C382" s="17"/>
      <c r="D382" s="50" t="s">
        <v>153</v>
      </c>
      <c r="E382" s="64">
        <v>300000</v>
      </c>
    </row>
    <row r="383" spans="1:5" s="37" customFormat="1" ht="22.5" customHeight="1" x14ac:dyDescent="0.25">
      <c r="A383" s="12" t="s">
        <v>31</v>
      </c>
      <c r="B383" s="12"/>
      <c r="C383" s="12"/>
      <c r="D383" s="12"/>
      <c r="E383" s="42">
        <f>SUM(E381:E382)</f>
        <v>2500000</v>
      </c>
    </row>
    <row r="384" spans="1:5" s="37" customFormat="1" ht="22.5" customHeight="1" x14ac:dyDescent="0.25">
      <c r="A384" s="9" t="s">
        <v>24</v>
      </c>
      <c r="B384" s="9" t="s">
        <v>384</v>
      </c>
      <c r="C384" s="9" t="s">
        <v>95</v>
      </c>
      <c r="D384" s="12" t="s">
        <v>2</v>
      </c>
      <c r="E384" s="44">
        <v>33502</v>
      </c>
    </row>
    <row r="385" spans="1:5" s="37" customFormat="1" ht="22.5" customHeight="1" x14ac:dyDescent="0.25">
      <c r="A385" s="12" t="s">
        <v>31</v>
      </c>
      <c r="B385" s="12"/>
      <c r="C385" s="12"/>
      <c r="D385" s="12"/>
      <c r="E385" s="43">
        <f>SUM(E384:E384)</f>
        <v>33502</v>
      </c>
    </row>
    <row r="386" spans="1:5" s="38" customFormat="1" ht="22.5" customHeight="1" x14ac:dyDescent="0.25">
      <c r="A386" s="18" t="s">
        <v>47</v>
      </c>
      <c r="B386" s="18"/>
      <c r="C386" s="18"/>
      <c r="D386" s="18"/>
      <c r="E386" s="42">
        <f t="shared" ref="E386" si="13">E383+E380+E377+E385</f>
        <v>9133502</v>
      </c>
    </row>
    <row r="387" spans="1:5" s="37" customFormat="1" ht="22.5" customHeight="1" x14ac:dyDescent="0.25">
      <c r="A387" s="9" t="s">
        <v>546</v>
      </c>
      <c r="B387" s="9" t="s">
        <v>547</v>
      </c>
      <c r="C387" s="9" t="s">
        <v>548</v>
      </c>
      <c r="D387" s="9" t="s">
        <v>1</v>
      </c>
      <c r="E387" s="43">
        <v>1917597</v>
      </c>
    </row>
    <row r="388" spans="1:5" s="37" customFormat="1" ht="22.5" customHeight="1" x14ac:dyDescent="0.25">
      <c r="A388" s="12" t="s">
        <v>31</v>
      </c>
      <c r="B388" s="12"/>
      <c r="C388" s="12"/>
      <c r="D388" s="12"/>
      <c r="E388" s="57">
        <f>E387</f>
        <v>1917597</v>
      </c>
    </row>
    <row r="389" spans="1:5" s="38" customFormat="1" ht="22.5" customHeight="1" x14ac:dyDescent="0.25">
      <c r="A389" s="18" t="s">
        <v>47</v>
      </c>
      <c r="B389" s="18"/>
      <c r="C389" s="18"/>
      <c r="D389" s="18"/>
      <c r="E389" s="42">
        <f>E388</f>
        <v>1917597</v>
      </c>
    </row>
    <row r="390" spans="1:5" s="38" customFormat="1" ht="43.5" customHeight="1" x14ac:dyDescent="0.25">
      <c r="A390" s="10" t="s">
        <v>549</v>
      </c>
      <c r="B390" s="13" t="s">
        <v>550</v>
      </c>
      <c r="C390" s="9" t="s">
        <v>551</v>
      </c>
      <c r="D390" s="14" t="s">
        <v>0</v>
      </c>
      <c r="E390" s="68">
        <f>4199657/2</f>
        <v>2099828.5</v>
      </c>
    </row>
    <row r="391" spans="1:5" s="38" customFormat="1" ht="22.5" customHeight="1" x14ac:dyDescent="0.25">
      <c r="A391" s="10"/>
      <c r="B391" s="13"/>
      <c r="C391" s="10"/>
      <c r="D391" s="9" t="s">
        <v>40</v>
      </c>
      <c r="E391" s="68">
        <v>125306</v>
      </c>
    </row>
    <row r="392" spans="1:5" s="38" customFormat="1" ht="22.5" customHeight="1" x14ac:dyDescent="0.25">
      <c r="A392" s="10"/>
      <c r="B392" s="13"/>
      <c r="C392" s="10"/>
      <c r="D392" s="9" t="s">
        <v>1</v>
      </c>
      <c r="E392" s="68">
        <v>1560652</v>
      </c>
    </row>
    <row r="393" spans="1:5" s="38" customFormat="1" ht="22.5" customHeight="1" x14ac:dyDescent="0.25">
      <c r="A393" s="10"/>
      <c r="B393" s="13"/>
      <c r="C393" s="10"/>
      <c r="D393" s="9" t="s">
        <v>153</v>
      </c>
      <c r="E393" s="68">
        <v>1347730</v>
      </c>
    </row>
    <row r="394" spans="1:5" s="37" customFormat="1" ht="22.5" customHeight="1" x14ac:dyDescent="0.25">
      <c r="A394" s="12" t="s">
        <v>31</v>
      </c>
      <c r="B394" s="12"/>
      <c r="C394" s="12"/>
      <c r="D394" s="12"/>
      <c r="E394" s="69">
        <f>SUM(E390:E393)</f>
        <v>5133516.5</v>
      </c>
    </row>
    <row r="395" spans="1:5" s="38" customFormat="1" ht="28.5" customHeight="1" x14ac:dyDescent="0.2">
      <c r="A395" s="10" t="s">
        <v>549</v>
      </c>
      <c r="B395" s="13" t="s">
        <v>552</v>
      </c>
      <c r="C395" s="10" t="s">
        <v>556</v>
      </c>
      <c r="D395" s="14" t="s">
        <v>0</v>
      </c>
      <c r="E395" s="70">
        <f>6083479/2</f>
        <v>3041739.5</v>
      </c>
    </row>
    <row r="396" spans="1:5" s="38" customFormat="1" ht="22.5" customHeight="1" x14ac:dyDescent="0.2">
      <c r="A396" s="10"/>
      <c r="B396" s="13"/>
      <c r="C396" s="19"/>
      <c r="D396" s="9" t="s">
        <v>40</v>
      </c>
      <c r="E396" s="44">
        <f>242496</f>
        <v>242496</v>
      </c>
    </row>
    <row r="397" spans="1:5" s="38" customFormat="1" ht="22.5" customHeight="1" x14ac:dyDescent="0.2">
      <c r="A397" s="10"/>
      <c r="B397" s="13"/>
      <c r="C397" s="19"/>
      <c r="D397" s="9" t="s">
        <v>153</v>
      </c>
      <c r="E397" s="44">
        <v>533969</v>
      </c>
    </row>
    <row r="398" spans="1:5" s="37" customFormat="1" ht="22.5" customHeight="1" x14ac:dyDescent="0.25">
      <c r="A398" s="12" t="s">
        <v>31</v>
      </c>
      <c r="B398" s="12"/>
      <c r="C398" s="12"/>
      <c r="D398" s="12"/>
      <c r="E398" s="69">
        <f>E397+E396+E395</f>
        <v>3818204.5</v>
      </c>
    </row>
    <row r="399" spans="1:5" s="38" customFormat="1" ht="24" customHeight="1" x14ac:dyDescent="0.25">
      <c r="A399" s="10" t="s">
        <v>553</v>
      </c>
      <c r="B399" s="20" t="s">
        <v>554</v>
      </c>
      <c r="C399" s="9" t="s">
        <v>555</v>
      </c>
      <c r="D399" s="9" t="s">
        <v>40</v>
      </c>
      <c r="E399" s="47">
        <v>347412</v>
      </c>
    </row>
    <row r="400" spans="1:5" s="38" customFormat="1" ht="17.25" customHeight="1" x14ac:dyDescent="0.25">
      <c r="A400" s="10"/>
      <c r="B400" s="20"/>
      <c r="C400" s="9"/>
      <c r="D400" s="9" t="s">
        <v>153</v>
      </c>
      <c r="E400" s="47">
        <v>249282</v>
      </c>
    </row>
    <row r="401" spans="1:5" s="37" customFormat="1" ht="22.5" customHeight="1" x14ac:dyDescent="0.25">
      <c r="A401" s="12" t="s">
        <v>31</v>
      </c>
      <c r="B401" s="12"/>
      <c r="C401" s="12"/>
      <c r="D401" s="12"/>
      <c r="E401" s="69">
        <f>SUM(E399:E400)</f>
        <v>596694</v>
      </c>
    </row>
    <row r="402" spans="1:5" s="37" customFormat="1" ht="22.5" customHeight="1" x14ac:dyDescent="0.25">
      <c r="A402" s="9" t="s">
        <v>25</v>
      </c>
      <c r="B402" s="9" t="s">
        <v>385</v>
      </c>
      <c r="C402" s="9" t="s">
        <v>96</v>
      </c>
      <c r="D402" s="9" t="s">
        <v>40</v>
      </c>
      <c r="E402" s="67">
        <v>320438</v>
      </c>
    </row>
    <row r="403" spans="1:5" s="37" customFormat="1" ht="22.5" customHeight="1" x14ac:dyDescent="0.25">
      <c r="A403" s="9"/>
      <c r="B403" s="9"/>
      <c r="C403" s="9"/>
      <c r="D403" s="9" t="s">
        <v>2</v>
      </c>
      <c r="E403" s="67"/>
    </row>
    <row r="404" spans="1:5" s="37" customFormat="1" ht="22.5" customHeight="1" x14ac:dyDescent="0.25">
      <c r="A404" s="12" t="s">
        <v>31</v>
      </c>
      <c r="B404" s="12"/>
      <c r="C404" s="12"/>
      <c r="D404" s="12"/>
      <c r="E404" s="47">
        <f>SUM(E402:E403)</f>
        <v>320438</v>
      </c>
    </row>
    <row r="405" spans="1:5" s="37" customFormat="1" ht="22.5" customHeight="1" x14ac:dyDescent="0.25">
      <c r="A405" s="9" t="s">
        <v>64</v>
      </c>
      <c r="B405" s="9">
        <v>35169</v>
      </c>
      <c r="C405" s="9" t="s">
        <v>97</v>
      </c>
      <c r="D405" s="9" t="s">
        <v>0</v>
      </c>
      <c r="E405" s="44">
        <f>106858+190847</f>
        <v>297705</v>
      </c>
    </row>
    <row r="406" spans="1:5" s="37" customFormat="1" ht="22.5" customHeight="1" x14ac:dyDescent="0.25">
      <c r="A406" s="9"/>
      <c r="B406" s="9"/>
      <c r="C406" s="9"/>
      <c r="D406" s="9" t="s">
        <v>40</v>
      </c>
      <c r="E406" s="44">
        <v>108960</v>
      </c>
    </row>
    <row r="407" spans="1:5" s="37" customFormat="1" ht="22.5" customHeight="1" x14ac:dyDescent="0.25">
      <c r="A407" s="12" t="s">
        <v>31</v>
      </c>
      <c r="B407" s="12"/>
      <c r="C407" s="12"/>
      <c r="D407" s="12"/>
      <c r="E407" s="47">
        <f>SUM(E405:E406)</f>
        <v>406665</v>
      </c>
    </row>
    <row r="408" spans="1:5" s="37" customFormat="1" ht="22.5" customHeight="1" x14ac:dyDescent="0.25">
      <c r="A408" s="9" t="s">
        <v>7</v>
      </c>
      <c r="B408" s="9" t="s">
        <v>386</v>
      </c>
      <c r="C408" s="9" t="s">
        <v>98</v>
      </c>
      <c r="D408" s="9" t="s">
        <v>0</v>
      </c>
      <c r="E408" s="44">
        <f>133409+136036</f>
        <v>269445</v>
      </c>
    </row>
    <row r="409" spans="1:5" s="37" customFormat="1" ht="22.5" customHeight="1" x14ac:dyDescent="0.25">
      <c r="A409" s="9"/>
      <c r="B409" s="9"/>
      <c r="C409" s="9"/>
      <c r="D409" s="14" t="s">
        <v>40</v>
      </c>
      <c r="E409" s="67">
        <v>277156</v>
      </c>
    </row>
    <row r="410" spans="1:5" s="37" customFormat="1" ht="22.5" customHeight="1" x14ac:dyDescent="0.25">
      <c r="A410" s="9"/>
      <c r="B410" s="9"/>
      <c r="C410" s="9"/>
      <c r="D410" s="12" t="s">
        <v>2</v>
      </c>
      <c r="E410" s="67"/>
    </row>
    <row r="411" spans="1:5" s="37" customFormat="1" ht="22.5" customHeight="1" x14ac:dyDescent="0.25">
      <c r="A411" s="12" t="s">
        <v>31</v>
      </c>
      <c r="B411" s="12"/>
      <c r="C411" s="12"/>
      <c r="D411" s="12"/>
      <c r="E411" s="47">
        <f>SUM(E408:E410)</f>
        <v>546601</v>
      </c>
    </row>
    <row r="412" spans="1:5" s="38" customFormat="1" ht="22.5" customHeight="1" x14ac:dyDescent="0.25">
      <c r="A412" s="18" t="s">
        <v>47</v>
      </c>
      <c r="B412" s="18"/>
      <c r="C412" s="18"/>
      <c r="D412" s="18"/>
      <c r="E412" s="42">
        <f>E411+E407+E404+E401+E398+E394</f>
        <v>10822119</v>
      </c>
    </row>
    <row r="413" spans="1:5" s="37" customFormat="1" ht="22.5" customHeight="1" x14ac:dyDescent="0.25">
      <c r="A413" s="15" t="s">
        <v>26</v>
      </c>
      <c r="B413" s="9" t="s">
        <v>413</v>
      </c>
      <c r="C413" s="9" t="s">
        <v>222</v>
      </c>
      <c r="D413" s="9" t="s">
        <v>40</v>
      </c>
      <c r="E413" s="43">
        <v>2700000</v>
      </c>
    </row>
    <row r="414" spans="1:5" s="37" customFormat="1" ht="22.5" customHeight="1" x14ac:dyDescent="0.25">
      <c r="A414" s="12" t="s">
        <v>31</v>
      </c>
      <c r="B414" s="12"/>
      <c r="C414" s="12"/>
      <c r="D414" s="12"/>
      <c r="E414" s="42">
        <f>SUM(E413)</f>
        <v>2700000</v>
      </c>
    </row>
    <row r="415" spans="1:5" s="37" customFormat="1" ht="34.5" customHeight="1" x14ac:dyDescent="0.25">
      <c r="A415" s="9" t="s">
        <v>223</v>
      </c>
      <c r="B415" s="9" t="s">
        <v>499</v>
      </c>
      <c r="C415" s="9" t="s">
        <v>321</v>
      </c>
      <c r="D415" s="14" t="s">
        <v>1</v>
      </c>
      <c r="E415" s="49">
        <v>2000000</v>
      </c>
    </row>
    <row r="416" spans="1:5" s="37" customFormat="1" ht="22.5" customHeight="1" x14ac:dyDescent="0.25">
      <c r="A416" s="12" t="s">
        <v>31</v>
      </c>
      <c r="B416" s="12"/>
      <c r="C416" s="12"/>
      <c r="D416" s="12"/>
      <c r="E416" s="71">
        <f>SUM(E415)</f>
        <v>2000000</v>
      </c>
    </row>
    <row r="417" spans="1:5" s="37" customFormat="1" ht="33" customHeight="1" x14ac:dyDescent="0.25">
      <c r="A417" s="9" t="s">
        <v>223</v>
      </c>
      <c r="B417" s="9" t="s">
        <v>500</v>
      </c>
      <c r="C417" s="9" t="s">
        <v>224</v>
      </c>
      <c r="D417" s="14" t="s">
        <v>1</v>
      </c>
      <c r="E417" s="49">
        <v>2000000</v>
      </c>
    </row>
    <row r="418" spans="1:5" s="37" customFormat="1" ht="22.5" customHeight="1" x14ac:dyDescent="0.25">
      <c r="A418" s="12" t="s">
        <v>31</v>
      </c>
      <c r="B418" s="12"/>
      <c r="C418" s="12"/>
      <c r="D418" s="12"/>
      <c r="E418" s="42">
        <f>SUM(E417)</f>
        <v>2000000</v>
      </c>
    </row>
    <row r="419" spans="1:5" s="37" customFormat="1" ht="36" customHeight="1" x14ac:dyDescent="0.25">
      <c r="A419" s="11" t="s">
        <v>225</v>
      </c>
      <c r="B419" s="21" t="s">
        <v>501</v>
      </c>
      <c r="C419" s="9" t="s">
        <v>226</v>
      </c>
      <c r="D419" s="14" t="s">
        <v>0</v>
      </c>
      <c r="E419" s="49">
        <v>2200000</v>
      </c>
    </row>
    <row r="420" spans="1:5" s="38" customFormat="1" ht="22.5" customHeight="1" x14ac:dyDescent="0.25">
      <c r="A420" s="12" t="s">
        <v>31</v>
      </c>
      <c r="B420" s="6"/>
      <c r="C420" s="6"/>
      <c r="D420" s="6"/>
      <c r="E420" s="42">
        <f>SUM(E419)</f>
        <v>2200000</v>
      </c>
    </row>
    <row r="421" spans="1:5" s="37" customFormat="1" ht="22.5" customHeight="1" x14ac:dyDescent="0.25">
      <c r="A421" s="17" t="s">
        <v>38</v>
      </c>
      <c r="B421" s="20" t="s">
        <v>502</v>
      </c>
      <c r="C421" s="10" t="s">
        <v>227</v>
      </c>
      <c r="D421" s="50" t="s">
        <v>228</v>
      </c>
      <c r="E421" s="51">
        <v>600000</v>
      </c>
    </row>
    <row r="422" spans="1:5" s="37" customFormat="1" ht="19.5" customHeight="1" x14ac:dyDescent="0.15">
      <c r="A422" s="12" t="s">
        <v>31</v>
      </c>
      <c r="B422" s="32"/>
      <c r="C422" s="32"/>
      <c r="D422" s="48"/>
      <c r="E422" s="53">
        <f>SUM(E421)</f>
        <v>600000</v>
      </c>
    </row>
    <row r="423" spans="1:5" s="37" customFormat="1" ht="22.5" customHeight="1" x14ac:dyDescent="0.25">
      <c r="A423" s="11" t="s">
        <v>7</v>
      </c>
      <c r="B423" s="12" t="s">
        <v>389</v>
      </c>
      <c r="C423" s="9" t="s">
        <v>418</v>
      </c>
      <c r="D423" s="14" t="s">
        <v>56</v>
      </c>
      <c r="E423" s="49">
        <v>4000000</v>
      </c>
    </row>
    <row r="424" spans="1:5" s="37" customFormat="1" ht="22.5" customHeight="1" x14ac:dyDescent="0.25">
      <c r="A424" s="12" t="s">
        <v>31</v>
      </c>
      <c r="B424" s="32"/>
      <c r="C424" s="32"/>
      <c r="D424" s="48"/>
      <c r="E424" s="57">
        <f>E423</f>
        <v>4000000</v>
      </c>
    </row>
    <row r="425" spans="1:5" s="37" customFormat="1" ht="22.5" customHeight="1" x14ac:dyDescent="0.25">
      <c r="A425" s="11" t="s">
        <v>38</v>
      </c>
      <c r="B425" s="12" t="s">
        <v>503</v>
      </c>
      <c r="C425" s="9" t="s">
        <v>419</v>
      </c>
      <c r="D425" s="14" t="s">
        <v>1</v>
      </c>
      <c r="E425" s="49">
        <v>1100000</v>
      </c>
    </row>
    <row r="426" spans="1:5" s="37" customFormat="1" ht="22.5" customHeight="1" x14ac:dyDescent="0.25">
      <c r="A426" s="17"/>
      <c r="B426" s="20"/>
      <c r="C426" s="10"/>
      <c r="D426" s="50" t="s">
        <v>228</v>
      </c>
      <c r="E426" s="51">
        <v>350000</v>
      </c>
    </row>
    <row r="427" spans="1:5" s="37" customFormat="1" ht="30" customHeight="1" x14ac:dyDescent="0.25">
      <c r="A427" s="12" t="s">
        <v>31</v>
      </c>
      <c r="B427" s="21"/>
      <c r="C427" s="21"/>
      <c r="D427" s="45"/>
      <c r="E427" s="57">
        <f>SUM(E425:E426)</f>
        <v>1450000</v>
      </c>
    </row>
    <row r="428" spans="1:5" s="37" customFormat="1" ht="22.5" customHeight="1" x14ac:dyDescent="0.25">
      <c r="A428" s="9" t="s">
        <v>38</v>
      </c>
      <c r="B428" s="9" t="s">
        <v>387</v>
      </c>
      <c r="C428" s="9" t="s">
        <v>99</v>
      </c>
      <c r="D428" s="14" t="s">
        <v>1</v>
      </c>
      <c r="E428" s="44">
        <f>28657+28396</f>
        <v>57053</v>
      </c>
    </row>
    <row r="429" spans="1:5" s="37" customFormat="1" ht="22.5" customHeight="1" x14ac:dyDescent="0.25">
      <c r="A429" s="9"/>
      <c r="B429" s="9"/>
      <c r="C429" s="9"/>
      <c r="D429" s="9" t="s">
        <v>40</v>
      </c>
      <c r="E429" s="44">
        <f>92314+87628</f>
        <v>179942</v>
      </c>
    </row>
    <row r="430" spans="1:5" s="37" customFormat="1" ht="22.5" customHeight="1" x14ac:dyDescent="0.2">
      <c r="A430" s="72" t="s">
        <v>31</v>
      </c>
      <c r="B430" s="12"/>
      <c r="C430" s="12"/>
      <c r="D430" s="12"/>
      <c r="E430" s="49">
        <f>E429+E428</f>
        <v>236995</v>
      </c>
    </row>
    <row r="431" spans="1:5" s="37" customFormat="1" ht="22.5" customHeight="1" x14ac:dyDescent="0.25">
      <c r="A431" s="9" t="s">
        <v>26</v>
      </c>
      <c r="B431" s="9" t="s">
        <v>388</v>
      </c>
      <c r="C431" s="9" t="s">
        <v>143</v>
      </c>
      <c r="D431" s="14" t="s">
        <v>1</v>
      </c>
      <c r="E431" s="44">
        <v>1632619</v>
      </c>
    </row>
    <row r="432" spans="1:5" s="37" customFormat="1" ht="22.5" customHeight="1" x14ac:dyDescent="0.25">
      <c r="A432" s="9"/>
      <c r="B432" s="9"/>
      <c r="C432" s="9"/>
      <c r="D432" s="9" t="s">
        <v>151</v>
      </c>
      <c r="E432" s="44">
        <v>2460729</v>
      </c>
    </row>
    <row r="433" spans="1:5" s="37" customFormat="1" ht="22.5" customHeight="1" x14ac:dyDescent="0.2">
      <c r="A433" s="72" t="s">
        <v>31</v>
      </c>
      <c r="B433" s="12"/>
      <c r="C433" s="12"/>
      <c r="D433" s="12"/>
      <c r="E433" s="47">
        <f>E432+E431</f>
        <v>4093348</v>
      </c>
    </row>
    <row r="434" spans="1:5" s="37" customFormat="1" ht="22.5" customHeight="1" x14ac:dyDescent="0.25">
      <c r="A434" s="11" t="s">
        <v>7</v>
      </c>
      <c r="B434" s="11" t="s">
        <v>389</v>
      </c>
      <c r="C434" s="21" t="s">
        <v>138</v>
      </c>
      <c r="D434" s="45" t="s">
        <v>0</v>
      </c>
      <c r="E434" s="44">
        <v>787803</v>
      </c>
    </row>
    <row r="435" spans="1:5" s="37" customFormat="1" ht="22.5" customHeight="1" x14ac:dyDescent="0.25">
      <c r="A435" s="11"/>
      <c r="B435" s="11"/>
      <c r="C435" s="21"/>
      <c r="D435" s="21" t="s">
        <v>40</v>
      </c>
      <c r="E435" s="43">
        <v>97000</v>
      </c>
    </row>
    <row r="436" spans="1:5" s="37" customFormat="1" ht="22.5" customHeight="1" x14ac:dyDescent="0.25">
      <c r="A436" s="11"/>
      <c r="B436" s="11"/>
      <c r="C436" s="21"/>
      <c r="D436" s="21" t="s">
        <v>2</v>
      </c>
      <c r="E436" s="43">
        <v>51000</v>
      </c>
    </row>
    <row r="437" spans="1:5" s="37" customFormat="1" ht="22.5" customHeight="1" x14ac:dyDescent="0.2">
      <c r="A437" s="72" t="s">
        <v>31</v>
      </c>
      <c r="B437" s="6"/>
      <c r="C437" s="6"/>
      <c r="D437" s="6"/>
      <c r="E437" s="42">
        <f>SUM(E434:E436)</f>
        <v>935803</v>
      </c>
    </row>
    <row r="438" spans="1:5" s="38" customFormat="1" ht="22.5" customHeight="1" x14ac:dyDescent="0.25">
      <c r="A438" s="18" t="s">
        <v>47</v>
      </c>
      <c r="B438" s="18"/>
      <c r="C438" s="18"/>
      <c r="D438" s="18"/>
      <c r="E438" s="42">
        <f t="shared" ref="E438" si="14">E427+E424+E422+E420+E418+E416+E414+E437+E433+E430</f>
        <v>20216146</v>
      </c>
    </row>
    <row r="439" spans="1:5" s="37" customFormat="1" ht="22.5" customHeight="1" x14ac:dyDescent="0.25">
      <c r="A439" s="10" t="s">
        <v>152</v>
      </c>
      <c r="B439" s="10" t="s">
        <v>504</v>
      </c>
      <c r="C439" s="9" t="s">
        <v>325</v>
      </c>
      <c r="D439" s="10" t="s">
        <v>153</v>
      </c>
      <c r="E439" s="40">
        <v>710000</v>
      </c>
    </row>
    <row r="440" spans="1:5" s="37" customFormat="1" ht="33.75" customHeight="1" x14ac:dyDescent="0.25">
      <c r="A440" s="12" t="s">
        <v>31</v>
      </c>
      <c r="B440" s="12"/>
      <c r="C440" s="12"/>
      <c r="D440" s="12"/>
      <c r="E440" s="42">
        <f>SUM(E439)</f>
        <v>710000</v>
      </c>
    </row>
    <row r="441" spans="1:5" s="37" customFormat="1" ht="22.5" customHeight="1" x14ac:dyDescent="0.25">
      <c r="A441" s="10" t="s">
        <v>152</v>
      </c>
      <c r="B441" s="10" t="s">
        <v>505</v>
      </c>
      <c r="C441" s="9" t="s">
        <v>154</v>
      </c>
      <c r="D441" s="10" t="s">
        <v>153</v>
      </c>
      <c r="E441" s="40">
        <v>920000</v>
      </c>
    </row>
    <row r="442" spans="1:5" s="38" customFormat="1" ht="33.75" customHeight="1" x14ac:dyDescent="0.25">
      <c r="A442" s="6" t="s">
        <v>31</v>
      </c>
      <c r="B442" s="6"/>
      <c r="C442" s="6"/>
      <c r="D442" s="6"/>
      <c r="E442" s="42">
        <f>SUM(E441)</f>
        <v>920000</v>
      </c>
    </row>
    <row r="443" spans="1:5" s="37" customFormat="1" ht="22.5" customHeight="1" x14ac:dyDescent="0.25">
      <c r="A443" s="9" t="s">
        <v>155</v>
      </c>
      <c r="B443" s="9" t="s">
        <v>506</v>
      </c>
      <c r="C443" s="9" t="s">
        <v>156</v>
      </c>
      <c r="D443" s="9" t="s">
        <v>0</v>
      </c>
      <c r="E443" s="43">
        <v>1000000</v>
      </c>
    </row>
    <row r="444" spans="1:5" s="38" customFormat="1" ht="22.5" customHeight="1" x14ac:dyDescent="0.25">
      <c r="A444" s="6" t="s">
        <v>31</v>
      </c>
      <c r="B444" s="6"/>
      <c r="C444" s="6"/>
      <c r="D444" s="6"/>
      <c r="E444" s="42">
        <f>SUM(E443)</f>
        <v>1000000</v>
      </c>
    </row>
    <row r="445" spans="1:5" s="38" customFormat="1" ht="18" customHeight="1" x14ac:dyDescent="0.25">
      <c r="A445" s="18" t="s">
        <v>47</v>
      </c>
      <c r="B445" s="18"/>
      <c r="C445" s="18"/>
      <c r="D445" s="18"/>
      <c r="E445" s="42">
        <f>E444+E442+E440</f>
        <v>2630000</v>
      </c>
    </row>
    <row r="446" spans="1:5" s="37" customFormat="1" ht="45" customHeight="1" x14ac:dyDescent="0.25">
      <c r="A446" s="9" t="s">
        <v>255</v>
      </c>
      <c r="B446" s="9" t="s">
        <v>507</v>
      </c>
      <c r="C446" s="9" t="s">
        <v>248</v>
      </c>
      <c r="D446" s="14" t="s">
        <v>0</v>
      </c>
      <c r="E446" s="43">
        <v>800000</v>
      </c>
    </row>
    <row r="447" spans="1:5" s="37" customFormat="1" ht="22.5" customHeight="1" x14ac:dyDescent="0.25">
      <c r="A447" s="9" t="s">
        <v>50</v>
      </c>
      <c r="B447" s="9"/>
      <c r="C447" s="9"/>
      <c r="D447" s="14" t="s">
        <v>40</v>
      </c>
      <c r="E447" s="43">
        <v>45000</v>
      </c>
    </row>
    <row r="448" spans="1:5" s="38" customFormat="1" ht="21" customHeight="1" x14ac:dyDescent="0.25">
      <c r="A448" s="6" t="s">
        <v>31</v>
      </c>
      <c r="B448" s="6"/>
      <c r="C448" s="6"/>
      <c r="D448" s="6"/>
      <c r="E448" s="42">
        <f>SUM(E446:E447)</f>
        <v>845000</v>
      </c>
    </row>
    <row r="449" spans="1:5" s="38" customFormat="1" ht="19.5" customHeight="1" x14ac:dyDescent="0.25">
      <c r="A449" s="18" t="s">
        <v>47</v>
      </c>
      <c r="B449" s="18"/>
      <c r="C449" s="18"/>
      <c r="D449" s="18"/>
      <c r="E449" s="42">
        <f>E448</f>
        <v>845000</v>
      </c>
    </row>
    <row r="450" spans="1:5" s="37" customFormat="1" ht="22.5" customHeight="1" x14ac:dyDescent="0.25">
      <c r="A450" s="9" t="s">
        <v>101</v>
      </c>
      <c r="B450" s="9" t="s">
        <v>390</v>
      </c>
      <c r="C450" s="9" t="s">
        <v>102</v>
      </c>
      <c r="D450" s="9" t="s">
        <v>40</v>
      </c>
      <c r="E450" s="73">
        <v>1567123</v>
      </c>
    </row>
    <row r="451" spans="1:5" s="37" customFormat="1" ht="22.5" customHeight="1" x14ac:dyDescent="0.25">
      <c r="A451" s="9"/>
      <c r="B451" s="9"/>
      <c r="C451" s="9"/>
      <c r="D451" s="9" t="s">
        <v>43</v>
      </c>
      <c r="E451" s="73"/>
    </row>
    <row r="452" spans="1:5" s="37" customFormat="1" ht="22.5" customHeight="1" x14ac:dyDescent="0.25">
      <c r="A452" s="9"/>
      <c r="B452" s="9"/>
      <c r="C452" s="9"/>
      <c r="D452" s="9" t="s">
        <v>2</v>
      </c>
      <c r="E452" s="73"/>
    </row>
    <row r="453" spans="1:5" s="37" customFormat="1" ht="22.5" customHeight="1" x14ac:dyDescent="0.25">
      <c r="A453" s="9"/>
      <c r="B453" s="9"/>
      <c r="C453" s="9"/>
      <c r="D453" s="9" t="s">
        <v>140</v>
      </c>
      <c r="E453" s="73"/>
    </row>
    <row r="454" spans="1:5" s="37" customFormat="1" ht="22.5" customHeight="1" x14ac:dyDescent="0.25">
      <c r="A454" s="6" t="s">
        <v>31</v>
      </c>
      <c r="B454" s="12"/>
      <c r="C454" s="12"/>
      <c r="D454" s="12"/>
      <c r="E454" s="47">
        <f>SUM(E450:E453)</f>
        <v>1567123</v>
      </c>
    </row>
    <row r="455" spans="1:5" s="37" customFormat="1" ht="22.5" customHeight="1" x14ac:dyDescent="0.25">
      <c r="A455" s="9" t="s">
        <v>101</v>
      </c>
      <c r="B455" s="9" t="s">
        <v>391</v>
      </c>
      <c r="C455" s="9" t="s">
        <v>103</v>
      </c>
      <c r="D455" s="9" t="s">
        <v>40</v>
      </c>
      <c r="E455" s="67">
        <v>1400000</v>
      </c>
    </row>
    <row r="456" spans="1:5" s="37" customFormat="1" ht="22.5" customHeight="1" x14ac:dyDescent="0.25">
      <c r="A456" s="9"/>
      <c r="B456" s="9"/>
      <c r="C456" s="9"/>
      <c r="D456" s="12" t="s">
        <v>2</v>
      </c>
      <c r="E456" s="67"/>
    </row>
    <row r="457" spans="1:5" s="37" customFormat="1" ht="22.5" customHeight="1" x14ac:dyDescent="0.25">
      <c r="A457" s="6" t="s">
        <v>31</v>
      </c>
      <c r="B457" s="12"/>
      <c r="C457" s="12"/>
      <c r="D457" s="12"/>
      <c r="E457" s="44">
        <f>E455</f>
        <v>1400000</v>
      </c>
    </row>
    <row r="458" spans="1:5" s="37" customFormat="1" ht="22.5" customHeight="1" x14ac:dyDescent="0.25">
      <c r="A458" s="9" t="s">
        <v>101</v>
      </c>
      <c r="B458" s="9" t="s">
        <v>392</v>
      </c>
      <c r="C458" s="9" t="s">
        <v>104</v>
      </c>
      <c r="D458" s="14" t="s">
        <v>40</v>
      </c>
      <c r="E458" s="44">
        <v>213190.6</v>
      </c>
    </row>
    <row r="459" spans="1:5" s="37" customFormat="1" ht="22.5" customHeight="1" x14ac:dyDescent="0.25">
      <c r="A459" s="9"/>
      <c r="B459" s="9"/>
      <c r="C459" s="9"/>
      <c r="D459" s="14" t="s">
        <v>1</v>
      </c>
      <c r="E459" s="44">
        <f>1465024-E458-E460</f>
        <v>1207022.7</v>
      </c>
    </row>
    <row r="460" spans="1:5" s="37" customFormat="1" ht="22.5" customHeight="1" x14ac:dyDescent="0.25">
      <c r="A460" s="9"/>
      <c r="B460" s="9"/>
      <c r="C460" s="9"/>
      <c r="D460" s="12" t="s">
        <v>2</v>
      </c>
      <c r="E460" s="44">
        <v>44810.7</v>
      </c>
    </row>
    <row r="461" spans="1:5" s="37" customFormat="1" ht="22.5" customHeight="1" x14ac:dyDescent="0.25">
      <c r="A461" s="6" t="s">
        <v>31</v>
      </c>
      <c r="B461" s="12"/>
      <c r="C461" s="12"/>
      <c r="D461" s="12"/>
      <c r="E461" s="47">
        <f>SUM(E458:E460)</f>
        <v>1465024</v>
      </c>
    </row>
    <row r="462" spans="1:5" s="37" customFormat="1" ht="22.5" customHeight="1" x14ac:dyDescent="0.25">
      <c r="A462" s="15" t="s">
        <v>148</v>
      </c>
      <c r="B462" s="12" t="s">
        <v>149</v>
      </c>
      <c r="C462" s="15" t="s">
        <v>150</v>
      </c>
      <c r="D462" s="14" t="s">
        <v>0</v>
      </c>
      <c r="E462" s="44">
        <v>13901</v>
      </c>
    </row>
    <row r="463" spans="1:5" s="37" customFormat="1" ht="22.5" customHeight="1" x14ac:dyDescent="0.25">
      <c r="A463" s="15"/>
      <c r="B463" s="12"/>
      <c r="C463" s="15"/>
      <c r="D463" s="14" t="s">
        <v>1</v>
      </c>
      <c r="E463" s="44">
        <f>40464+39318+38010+18749+22535+25364</f>
        <v>184440</v>
      </c>
    </row>
    <row r="464" spans="1:5" s="37" customFormat="1" ht="22.5" customHeight="1" x14ac:dyDescent="0.25">
      <c r="A464" s="15"/>
      <c r="B464" s="12"/>
      <c r="C464" s="15"/>
      <c r="D464" s="14" t="s">
        <v>40</v>
      </c>
      <c r="E464" s="67">
        <v>21500</v>
      </c>
    </row>
    <row r="465" spans="1:5" s="37" customFormat="1" ht="22.5" customHeight="1" x14ac:dyDescent="0.25">
      <c r="A465" s="15"/>
      <c r="B465" s="12"/>
      <c r="C465" s="15"/>
      <c r="D465" s="12" t="s">
        <v>2</v>
      </c>
      <c r="E465" s="67"/>
    </row>
    <row r="466" spans="1:5" s="37" customFormat="1" ht="22.5" customHeight="1" x14ac:dyDescent="0.25">
      <c r="A466" s="6" t="s">
        <v>31</v>
      </c>
      <c r="B466" s="12"/>
      <c r="C466" s="12"/>
      <c r="D466" s="12"/>
      <c r="E466" s="47">
        <f>SUM(E462:E465)</f>
        <v>219841</v>
      </c>
    </row>
    <row r="467" spans="1:5" s="38" customFormat="1" ht="22.5" customHeight="1" x14ac:dyDescent="0.25">
      <c r="A467" s="18" t="s">
        <v>47</v>
      </c>
      <c r="B467" s="18"/>
      <c r="C467" s="18"/>
      <c r="D467" s="18"/>
      <c r="E467" s="42">
        <f>E466+E461+E457+E454</f>
        <v>4651988</v>
      </c>
    </row>
    <row r="468" spans="1:5" s="37" customFormat="1" ht="24.75" customHeight="1" x14ac:dyDescent="0.25">
      <c r="A468" s="9" t="s">
        <v>7</v>
      </c>
      <c r="B468" s="9" t="s">
        <v>508</v>
      </c>
      <c r="C468" s="1" t="s">
        <v>240</v>
      </c>
      <c r="D468" s="14" t="s">
        <v>0</v>
      </c>
      <c r="E468" s="43">
        <v>550000</v>
      </c>
    </row>
    <row r="469" spans="1:5" s="37" customFormat="1" ht="22.5" customHeight="1" x14ac:dyDescent="0.25">
      <c r="A469" s="9"/>
      <c r="B469" s="9"/>
      <c r="C469" s="9"/>
      <c r="D469" s="14" t="s">
        <v>40</v>
      </c>
      <c r="E469" s="43">
        <v>738000</v>
      </c>
    </row>
    <row r="470" spans="1:5" s="37" customFormat="1" ht="22.5" customHeight="1" x14ac:dyDescent="0.25">
      <c r="A470" s="12" t="s">
        <v>31</v>
      </c>
      <c r="B470" s="12"/>
      <c r="C470" s="12"/>
      <c r="D470" s="12"/>
      <c r="E470" s="42">
        <f>SUM(E468:E469)</f>
        <v>1288000</v>
      </c>
    </row>
    <row r="471" spans="1:5" s="38" customFormat="1" ht="22.5" customHeight="1" x14ac:dyDescent="0.25">
      <c r="A471" s="18" t="s">
        <v>47</v>
      </c>
      <c r="B471" s="18"/>
      <c r="C471" s="18"/>
      <c r="D471" s="18"/>
      <c r="E471" s="42">
        <f>E470</f>
        <v>1288000</v>
      </c>
    </row>
    <row r="472" spans="1:5" s="37" customFormat="1" ht="22.5" customHeight="1" x14ac:dyDescent="0.25">
      <c r="A472" s="15" t="s">
        <v>236</v>
      </c>
      <c r="B472" s="9" t="s">
        <v>509</v>
      </c>
      <c r="C472" s="9" t="s">
        <v>237</v>
      </c>
      <c r="D472" s="9" t="s">
        <v>0</v>
      </c>
      <c r="E472" s="43">
        <v>4000000</v>
      </c>
    </row>
    <row r="473" spans="1:5" s="37" customFormat="1" ht="22.5" customHeight="1" x14ac:dyDescent="0.25">
      <c r="A473" s="12" t="s">
        <v>31</v>
      </c>
      <c r="B473" s="12"/>
      <c r="C473" s="12"/>
      <c r="D473" s="12"/>
      <c r="E473" s="42">
        <f>SUM(E472)</f>
        <v>4000000</v>
      </c>
    </row>
    <row r="474" spans="1:5" s="37" customFormat="1" ht="22.5" customHeight="1" x14ac:dyDescent="0.25">
      <c r="A474" s="11" t="s">
        <v>7</v>
      </c>
      <c r="B474" s="11" t="s">
        <v>510</v>
      </c>
      <c r="C474" s="21" t="s">
        <v>238</v>
      </c>
      <c r="D474" s="45" t="s">
        <v>559</v>
      </c>
      <c r="E474" s="43">
        <v>1000000</v>
      </c>
    </row>
    <row r="475" spans="1:5" s="37" customFormat="1" ht="22.5" customHeight="1" x14ac:dyDescent="0.25">
      <c r="A475" s="12" t="s">
        <v>31</v>
      </c>
      <c r="B475" s="12"/>
      <c r="C475" s="12"/>
      <c r="D475" s="12"/>
      <c r="E475" s="42">
        <f>SUM(E474)</f>
        <v>1000000</v>
      </c>
    </row>
    <row r="476" spans="1:5" s="37" customFormat="1" ht="22.5" customHeight="1" x14ac:dyDescent="0.25">
      <c r="A476" s="11" t="s">
        <v>7</v>
      </c>
      <c r="B476" s="11" t="s">
        <v>511</v>
      </c>
      <c r="C476" s="21" t="s">
        <v>239</v>
      </c>
      <c r="D476" s="45" t="s">
        <v>40</v>
      </c>
      <c r="E476" s="43">
        <v>500000</v>
      </c>
    </row>
    <row r="477" spans="1:5" s="37" customFormat="1" ht="22.5" customHeight="1" x14ac:dyDescent="0.25">
      <c r="A477" s="12" t="s">
        <v>31</v>
      </c>
      <c r="B477" s="12"/>
      <c r="C477" s="12"/>
      <c r="D477" s="12"/>
      <c r="E477" s="42">
        <f>SUM(E476)</f>
        <v>500000</v>
      </c>
    </row>
    <row r="478" spans="1:5" s="38" customFormat="1" ht="22.5" customHeight="1" x14ac:dyDescent="0.25">
      <c r="A478" s="18" t="s">
        <v>47</v>
      </c>
      <c r="B478" s="18"/>
      <c r="C478" s="18"/>
      <c r="D478" s="18"/>
      <c r="E478" s="42">
        <f t="shared" ref="E478" si="15">E477+E475+E473</f>
        <v>5500000</v>
      </c>
    </row>
    <row r="479" spans="1:5" s="37" customFormat="1" ht="22.5" customHeight="1" x14ac:dyDescent="0.25">
      <c r="A479" s="9" t="s">
        <v>290</v>
      </c>
      <c r="B479" s="9" t="s">
        <v>512</v>
      </c>
      <c r="C479" s="9" t="s">
        <v>291</v>
      </c>
      <c r="D479" s="9" t="s">
        <v>0</v>
      </c>
      <c r="E479" s="43">
        <v>3500000</v>
      </c>
    </row>
    <row r="480" spans="1:5" s="37" customFormat="1" ht="22.5" customHeight="1" x14ac:dyDescent="0.25">
      <c r="A480" s="10"/>
      <c r="B480" s="10"/>
      <c r="C480" s="10"/>
      <c r="D480" s="50" t="s">
        <v>153</v>
      </c>
      <c r="E480" s="40">
        <v>490000</v>
      </c>
    </row>
    <row r="481" spans="1:5" s="37" customFormat="1" ht="22.5" customHeight="1" x14ac:dyDescent="0.25">
      <c r="A481" s="12" t="s">
        <v>31</v>
      </c>
      <c r="B481" s="12"/>
      <c r="C481" s="12"/>
      <c r="D481" s="12"/>
      <c r="E481" s="42">
        <f>SUM(E479:E480)</f>
        <v>3990000</v>
      </c>
    </row>
    <row r="482" spans="1:5" s="37" customFormat="1" ht="22.5" customHeight="1" x14ac:dyDescent="0.25">
      <c r="A482" s="29" t="s">
        <v>292</v>
      </c>
      <c r="B482" s="29" t="s">
        <v>513</v>
      </c>
      <c r="C482" s="29" t="s">
        <v>293</v>
      </c>
      <c r="D482" s="9" t="s">
        <v>0</v>
      </c>
      <c r="E482" s="43">
        <v>3000000</v>
      </c>
    </row>
    <row r="483" spans="1:5" s="37" customFormat="1" ht="22.5" customHeight="1" x14ac:dyDescent="0.25">
      <c r="A483" s="9"/>
      <c r="B483" s="9"/>
      <c r="C483" s="9"/>
      <c r="D483" s="14" t="s">
        <v>40</v>
      </c>
      <c r="E483" s="43">
        <v>250000</v>
      </c>
    </row>
    <row r="484" spans="1:5" s="37" customFormat="1" ht="22.5" customHeight="1" x14ac:dyDescent="0.25">
      <c r="A484" s="10"/>
      <c r="B484" s="10"/>
      <c r="C484" s="10"/>
      <c r="D484" s="50" t="s">
        <v>153</v>
      </c>
      <c r="E484" s="40">
        <v>128000</v>
      </c>
    </row>
    <row r="485" spans="1:5" s="37" customFormat="1" ht="22.5" customHeight="1" x14ac:dyDescent="0.25">
      <c r="A485" s="12" t="s">
        <v>31</v>
      </c>
      <c r="B485" s="32"/>
      <c r="C485" s="32"/>
      <c r="D485" s="48"/>
      <c r="E485" s="42">
        <f>SUM(E482:E484)</f>
        <v>3378000</v>
      </c>
    </row>
    <row r="486" spans="1:5" s="37" customFormat="1" ht="22.5" customHeight="1" x14ac:dyDescent="0.25">
      <c r="A486" s="9" t="s">
        <v>105</v>
      </c>
      <c r="B486" s="9" t="s">
        <v>393</v>
      </c>
      <c r="C486" s="9" t="s">
        <v>106</v>
      </c>
      <c r="D486" s="9" t="s">
        <v>2</v>
      </c>
      <c r="E486" s="47">
        <v>11626</v>
      </c>
    </row>
    <row r="487" spans="1:5" s="37" customFormat="1" ht="22.5" customHeight="1" x14ac:dyDescent="0.25">
      <c r="A487" s="12" t="s">
        <v>31</v>
      </c>
      <c r="B487" s="12"/>
      <c r="C487" s="12"/>
      <c r="D487" s="12"/>
      <c r="E487" s="47">
        <f>SUM(E486:E486)</f>
        <v>11626</v>
      </c>
    </row>
    <row r="488" spans="1:5" s="38" customFormat="1" ht="22.5" customHeight="1" x14ac:dyDescent="0.25">
      <c r="A488" s="18" t="s">
        <v>47</v>
      </c>
      <c r="B488" s="18"/>
      <c r="C488" s="18"/>
      <c r="D488" s="18"/>
      <c r="E488" s="42">
        <f>E485+E481+E487</f>
        <v>7379626</v>
      </c>
    </row>
    <row r="489" spans="1:5" s="37" customFormat="1" ht="22.5" customHeight="1" x14ac:dyDescent="0.25">
      <c r="A489" s="29" t="s">
        <v>192</v>
      </c>
      <c r="B489" s="29" t="s">
        <v>514</v>
      </c>
      <c r="C489" s="29" t="s">
        <v>300</v>
      </c>
      <c r="D489" s="48" t="s">
        <v>0</v>
      </c>
      <c r="E489" s="47">
        <v>3000000</v>
      </c>
    </row>
    <row r="490" spans="1:5" s="37" customFormat="1" ht="22.5" customHeight="1" x14ac:dyDescent="0.25">
      <c r="A490" s="32" t="s">
        <v>31</v>
      </c>
      <c r="B490" s="32"/>
      <c r="C490" s="32"/>
      <c r="D490" s="48"/>
      <c r="E490" s="42">
        <f>SUM(E489)</f>
        <v>3000000</v>
      </c>
    </row>
    <row r="491" spans="1:5" s="37" customFormat="1" ht="22.5" customHeight="1" x14ac:dyDescent="0.25">
      <c r="A491" s="29" t="s">
        <v>192</v>
      </c>
      <c r="B491" s="29" t="s">
        <v>515</v>
      </c>
      <c r="C491" s="29" t="s">
        <v>193</v>
      </c>
      <c r="D491" s="48" t="s">
        <v>0</v>
      </c>
      <c r="E491" s="47">
        <v>3000000</v>
      </c>
    </row>
    <row r="492" spans="1:5" s="37" customFormat="1" ht="22.5" customHeight="1" x14ac:dyDescent="0.25">
      <c r="A492" s="32" t="s">
        <v>31</v>
      </c>
      <c r="B492" s="32"/>
      <c r="C492" s="32"/>
      <c r="D492" s="48"/>
      <c r="E492" s="42">
        <f>SUM(E491)</f>
        <v>3000000</v>
      </c>
    </row>
    <row r="493" spans="1:5" s="37" customFormat="1" ht="37.5" customHeight="1" x14ac:dyDescent="0.25">
      <c r="A493" s="29" t="s">
        <v>192</v>
      </c>
      <c r="B493" s="29" t="s">
        <v>516</v>
      </c>
      <c r="C493" s="29" t="s">
        <v>194</v>
      </c>
      <c r="D493" s="48" t="s">
        <v>0</v>
      </c>
      <c r="E493" s="47">
        <v>2000000</v>
      </c>
    </row>
    <row r="494" spans="1:5" s="37" customFormat="1" ht="43.5" customHeight="1" x14ac:dyDescent="0.25">
      <c r="A494" s="32" t="s">
        <v>31</v>
      </c>
      <c r="B494" s="32"/>
      <c r="C494" s="32"/>
      <c r="D494" s="48"/>
      <c r="E494" s="42">
        <f>SUM(E493)</f>
        <v>2000000</v>
      </c>
    </row>
    <row r="495" spans="1:5" s="38" customFormat="1" ht="22.5" customHeight="1" x14ac:dyDescent="0.25">
      <c r="A495" s="18" t="s">
        <v>47</v>
      </c>
      <c r="B495" s="18"/>
      <c r="C495" s="18"/>
      <c r="D495" s="18"/>
      <c r="E495" s="57">
        <f>E494+E492+E490</f>
        <v>8000000</v>
      </c>
    </row>
    <row r="496" spans="1:5" s="37" customFormat="1" ht="24.75" customHeight="1" x14ac:dyDescent="0.25">
      <c r="A496" s="10" t="s">
        <v>32</v>
      </c>
      <c r="B496" s="9" t="s">
        <v>517</v>
      </c>
      <c r="C496" s="9" t="s">
        <v>208</v>
      </c>
      <c r="D496" s="14" t="s">
        <v>0</v>
      </c>
      <c r="E496" s="43">
        <v>500000</v>
      </c>
    </row>
    <row r="497" spans="1:5" s="37" customFormat="1" ht="27" customHeight="1" x14ac:dyDescent="0.25">
      <c r="A497" s="10"/>
      <c r="B497" s="9"/>
      <c r="C497" s="9"/>
      <c r="D497" s="14" t="s">
        <v>40</v>
      </c>
      <c r="E497" s="43">
        <v>70000</v>
      </c>
    </row>
    <row r="498" spans="1:5" s="37" customFormat="1" ht="24" customHeight="1" x14ac:dyDescent="0.25">
      <c r="A498" s="10"/>
      <c r="B498" s="10"/>
      <c r="C498" s="10"/>
      <c r="D498" s="50" t="s">
        <v>153</v>
      </c>
      <c r="E498" s="40">
        <v>75000</v>
      </c>
    </row>
    <row r="499" spans="1:5" s="37" customFormat="1" ht="21.75" customHeight="1" x14ac:dyDescent="0.25">
      <c r="A499" s="12" t="s">
        <v>31</v>
      </c>
      <c r="B499" s="12"/>
      <c r="C499" s="12"/>
      <c r="D499" s="12"/>
      <c r="E499" s="42">
        <f>SUM(E496:E498)</f>
        <v>645000</v>
      </c>
    </row>
    <row r="500" spans="1:5" s="37" customFormat="1" ht="24.75" customHeight="1" x14ac:dyDescent="0.25">
      <c r="A500" s="9" t="s">
        <v>209</v>
      </c>
      <c r="B500" s="9" t="s">
        <v>397</v>
      </c>
      <c r="C500" s="9" t="s">
        <v>210</v>
      </c>
      <c r="D500" s="14" t="s">
        <v>0</v>
      </c>
      <c r="E500" s="43">
        <v>1000000</v>
      </c>
    </row>
    <row r="501" spans="1:5" s="37" customFormat="1" ht="17.25" customHeight="1" x14ac:dyDescent="0.25">
      <c r="A501" s="12" t="s">
        <v>31</v>
      </c>
      <c r="B501" s="12"/>
      <c r="C501" s="12"/>
      <c r="D501" s="12"/>
      <c r="E501" s="42">
        <f>SUM(E500)</f>
        <v>1000000</v>
      </c>
    </row>
    <row r="502" spans="1:5" s="37" customFormat="1" ht="22.5" customHeight="1" x14ac:dyDescent="0.25">
      <c r="A502" s="9" t="s">
        <v>34</v>
      </c>
      <c r="B502" s="9" t="s">
        <v>518</v>
      </c>
      <c r="C502" s="9" t="s">
        <v>319</v>
      </c>
      <c r="D502" s="14" t="s">
        <v>1</v>
      </c>
      <c r="E502" s="43">
        <v>800000</v>
      </c>
    </row>
    <row r="503" spans="1:5" s="37" customFormat="1" ht="22.5" customHeight="1" x14ac:dyDescent="0.25">
      <c r="A503" s="9"/>
      <c r="B503" s="9"/>
      <c r="C503" s="9"/>
      <c r="D503" s="12" t="s">
        <v>40</v>
      </c>
      <c r="E503" s="43">
        <v>300000</v>
      </c>
    </row>
    <row r="504" spans="1:5" s="37" customFormat="1" ht="24" customHeight="1" x14ac:dyDescent="0.25">
      <c r="A504" s="12" t="s">
        <v>31</v>
      </c>
      <c r="B504" s="12"/>
      <c r="C504" s="12"/>
      <c r="D504" s="12"/>
      <c r="E504" s="42">
        <f>SUM(E502:E503)</f>
        <v>1100000</v>
      </c>
    </row>
    <row r="505" spans="1:5" s="37" customFormat="1" ht="22.5" customHeight="1" x14ac:dyDescent="0.25">
      <c r="A505" s="9" t="s">
        <v>7</v>
      </c>
      <c r="B505" s="9" t="s">
        <v>519</v>
      </c>
      <c r="C505" s="9" t="s">
        <v>211</v>
      </c>
      <c r="D505" s="9" t="s">
        <v>0</v>
      </c>
      <c r="E505" s="43">
        <v>1000000</v>
      </c>
    </row>
    <row r="506" spans="1:5" s="37" customFormat="1" ht="22.5" customHeight="1" x14ac:dyDescent="0.25">
      <c r="A506" s="9"/>
      <c r="B506" s="9"/>
      <c r="C506" s="9"/>
      <c r="D506" s="9" t="s">
        <v>40</v>
      </c>
      <c r="E506" s="43">
        <v>260000</v>
      </c>
    </row>
    <row r="507" spans="1:5" s="37" customFormat="1" ht="22.5" customHeight="1" x14ac:dyDescent="0.25">
      <c r="A507" s="10"/>
      <c r="B507" s="10"/>
      <c r="C507" s="10"/>
      <c r="D507" s="10" t="s">
        <v>153</v>
      </c>
      <c r="E507" s="40">
        <v>100000</v>
      </c>
    </row>
    <row r="508" spans="1:5" s="37" customFormat="1" ht="22.5" customHeight="1" x14ac:dyDescent="0.25">
      <c r="A508" s="12" t="s">
        <v>31</v>
      </c>
      <c r="B508" s="12"/>
      <c r="C508" s="12"/>
      <c r="D508" s="12"/>
      <c r="E508" s="42">
        <f>SUM(E505:E507)</f>
        <v>1360000</v>
      </c>
    </row>
    <row r="509" spans="1:5" s="37" customFormat="1" ht="22.5" customHeight="1" x14ac:dyDescent="0.25">
      <c r="A509" s="9" t="s">
        <v>34</v>
      </c>
      <c r="B509" s="9" t="s">
        <v>520</v>
      </c>
      <c r="C509" s="9" t="s">
        <v>212</v>
      </c>
      <c r="D509" s="14" t="s">
        <v>1</v>
      </c>
      <c r="E509" s="43">
        <v>2500000</v>
      </c>
    </row>
    <row r="510" spans="1:5" s="37" customFormat="1" ht="22.5" customHeight="1" x14ac:dyDescent="0.25">
      <c r="A510" s="12" t="s">
        <v>31</v>
      </c>
      <c r="B510" s="12"/>
      <c r="C510" s="12"/>
      <c r="D510" s="12"/>
      <c r="E510" s="42">
        <f>SUM(E509)</f>
        <v>2500000</v>
      </c>
    </row>
    <row r="511" spans="1:5" s="37" customFormat="1" ht="22.5" customHeight="1" x14ac:dyDescent="0.25">
      <c r="A511" s="9" t="s">
        <v>7</v>
      </c>
      <c r="B511" s="9" t="s">
        <v>521</v>
      </c>
      <c r="C511" s="9" t="s">
        <v>320</v>
      </c>
      <c r="D511" s="12" t="s">
        <v>0</v>
      </c>
      <c r="E511" s="43">
        <v>750000</v>
      </c>
    </row>
    <row r="512" spans="1:5" s="37" customFormat="1" ht="23.25" customHeight="1" x14ac:dyDescent="0.25">
      <c r="A512" s="9"/>
      <c r="B512" s="9"/>
      <c r="C512" s="9"/>
      <c r="D512" s="9" t="s">
        <v>40</v>
      </c>
      <c r="E512" s="43">
        <v>250000</v>
      </c>
    </row>
    <row r="513" spans="1:5" s="37" customFormat="1" ht="22.5" customHeight="1" x14ac:dyDescent="0.25">
      <c r="A513" s="12" t="s">
        <v>31</v>
      </c>
      <c r="B513" s="12"/>
      <c r="C513" s="12"/>
      <c r="D513" s="12"/>
      <c r="E513" s="42">
        <f>SUM(E511:E512)</f>
        <v>1000000</v>
      </c>
    </row>
    <row r="514" spans="1:5" s="37" customFormat="1" ht="22.5" customHeight="1" x14ac:dyDescent="0.25">
      <c r="A514" s="10" t="s">
        <v>34</v>
      </c>
      <c r="B514" s="9" t="s">
        <v>394</v>
      </c>
      <c r="C514" s="9" t="s">
        <v>107</v>
      </c>
      <c r="D514" s="14" t="s">
        <v>0</v>
      </c>
      <c r="E514" s="44">
        <f>5*50000+47847</f>
        <v>297847</v>
      </c>
    </row>
    <row r="515" spans="1:5" s="37" customFormat="1" ht="22.5" customHeight="1" x14ac:dyDescent="0.25">
      <c r="A515" s="10"/>
      <c r="B515" s="9"/>
      <c r="C515" s="9"/>
      <c r="D515" s="14" t="s">
        <v>1</v>
      </c>
      <c r="E515" s="44">
        <f>72859+73295</f>
        <v>146154</v>
      </c>
    </row>
    <row r="516" spans="1:5" s="37" customFormat="1" ht="22.5" customHeight="1" x14ac:dyDescent="0.25">
      <c r="A516" s="10"/>
      <c r="B516" s="9"/>
      <c r="C516" s="9"/>
      <c r="D516" s="14" t="s">
        <v>40</v>
      </c>
      <c r="E516" s="44">
        <v>40000</v>
      </c>
    </row>
    <row r="517" spans="1:5" s="37" customFormat="1" ht="22.5" customHeight="1" x14ac:dyDescent="0.25">
      <c r="A517" s="12"/>
      <c r="B517" s="12"/>
      <c r="C517" s="12"/>
      <c r="D517" s="12"/>
      <c r="E517" s="47">
        <f>SUM(E514:E516)</f>
        <v>484001</v>
      </c>
    </row>
    <row r="518" spans="1:5" s="37" customFormat="1" ht="22.5" customHeight="1" x14ac:dyDescent="0.25">
      <c r="A518" s="9" t="s">
        <v>34</v>
      </c>
      <c r="B518" s="9" t="s">
        <v>395</v>
      </c>
      <c r="C518" s="9" t="s">
        <v>108</v>
      </c>
      <c r="D518" s="14" t="s">
        <v>0</v>
      </c>
      <c r="E518" s="44">
        <f>110860+125000+100000</f>
        <v>335860</v>
      </c>
    </row>
    <row r="519" spans="1:5" s="37" customFormat="1" ht="22.5" customHeight="1" x14ac:dyDescent="0.25">
      <c r="A519" s="12"/>
      <c r="B519" s="12"/>
      <c r="C519" s="12"/>
      <c r="D519" s="12"/>
      <c r="E519" s="47">
        <f>SUM(E518:E518)</f>
        <v>335860</v>
      </c>
    </row>
    <row r="520" spans="1:5" s="37" customFormat="1" ht="22.5" customHeight="1" x14ac:dyDescent="0.25">
      <c r="A520" s="9" t="s">
        <v>32</v>
      </c>
      <c r="B520" s="9" t="s">
        <v>396</v>
      </c>
      <c r="C520" s="9" t="s">
        <v>109</v>
      </c>
      <c r="D520" s="14" t="s">
        <v>0</v>
      </c>
      <c r="E520" s="44">
        <f>164702+222551+196736+174029+220333</f>
        <v>978351</v>
      </c>
    </row>
    <row r="521" spans="1:5" s="37" customFormat="1" ht="22.5" customHeight="1" x14ac:dyDescent="0.25">
      <c r="A521" s="9"/>
      <c r="B521" s="9"/>
      <c r="C521" s="9"/>
      <c r="D521" s="12" t="s">
        <v>40</v>
      </c>
      <c r="E521" s="43">
        <v>20000</v>
      </c>
    </row>
    <row r="522" spans="1:5" s="37" customFormat="1" ht="22.5" customHeight="1" x14ac:dyDescent="0.25">
      <c r="A522" s="9"/>
      <c r="B522" s="9"/>
      <c r="C522" s="9"/>
      <c r="D522" s="9" t="s">
        <v>2</v>
      </c>
      <c r="E522" s="43">
        <v>50000</v>
      </c>
    </row>
    <row r="523" spans="1:5" s="37" customFormat="1" ht="22.5" customHeight="1" x14ac:dyDescent="0.25">
      <c r="A523" s="12"/>
      <c r="B523" s="12"/>
      <c r="C523" s="12"/>
      <c r="D523" s="12"/>
      <c r="E523" s="47">
        <f>SUM(E520:E522)</f>
        <v>1048351</v>
      </c>
    </row>
    <row r="524" spans="1:5" s="37" customFormat="1" ht="22.5" customHeight="1" x14ac:dyDescent="0.25">
      <c r="A524" s="9" t="s">
        <v>33</v>
      </c>
      <c r="B524" s="9" t="s">
        <v>397</v>
      </c>
      <c r="C524" s="9" t="s">
        <v>110</v>
      </c>
      <c r="D524" s="14" t="s">
        <v>0</v>
      </c>
      <c r="E524" s="44">
        <f>122999+124934+123258+121965</f>
        <v>493156</v>
      </c>
    </row>
    <row r="525" spans="1:5" s="37" customFormat="1" ht="22.5" customHeight="1" x14ac:dyDescent="0.25">
      <c r="A525" s="12"/>
      <c r="B525" s="12"/>
      <c r="C525" s="12"/>
      <c r="D525" s="12"/>
      <c r="E525" s="47">
        <f>SUM(E524)</f>
        <v>493156</v>
      </c>
    </row>
    <row r="526" spans="1:5" s="37" customFormat="1" ht="22.5" customHeight="1" x14ac:dyDescent="0.25">
      <c r="A526" s="9" t="s">
        <v>33</v>
      </c>
      <c r="B526" s="9" t="s">
        <v>398</v>
      </c>
      <c r="C526" s="9" t="s">
        <v>111</v>
      </c>
      <c r="D526" s="14" t="s">
        <v>0</v>
      </c>
      <c r="E526" s="44">
        <f>97442+97697+98895+98613</f>
        <v>392647</v>
      </c>
    </row>
    <row r="527" spans="1:5" s="37" customFormat="1" ht="22.5" customHeight="1" x14ac:dyDescent="0.25">
      <c r="A527" s="12"/>
      <c r="B527" s="12"/>
      <c r="C527" s="12"/>
      <c r="D527" s="12"/>
      <c r="E527" s="47">
        <f>SUM(E526)</f>
        <v>392647</v>
      </c>
    </row>
    <row r="528" spans="1:5" s="37" customFormat="1" ht="22.5" customHeight="1" x14ac:dyDescent="0.25">
      <c r="A528" s="9" t="s">
        <v>33</v>
      </c>
      <c r="B528" s="9" t="s">
        <v>399</v>
      </c>
      <c r="C528" s="9" t="s">
        <v>112</v>
      </c>
      <c r="D528" s="14" t="s">
        <v>0</v>
      </c>
      <c r="E528" s="44">
        <f>97882+97298+98895+99113</f>
        <v>393188</v>
      </c>
    </row>
    <row r="529" spans="1:5" s="37" customFormat="1" ht="22.5" customHeight="1" x14ac:dyDescent="0.25">
      <c r="A529" s="12"/>
      <c r="B529" s="12"/>
      <c r="C529" s="12"/>
      <c r="D529" s="12"/>
      <c r="E529" s="47">
        <f>SUM(E528)</f>
        <v>393188</v>
      </c>
    </row>
    <row r="530" spans="1:5" s="38" customFormat="1" ht="22.5" customHeight="1" x14ac:dyDescent="0.25">
      <c r="A530" s="18" t="s">
        <v>47</v>
      </c>
      <c r="B530" s="18"/>
      <c r="C530" s="18"/>
      <c r="D530" s="18"/>
      <c r="E530" s="42">
        <f t="shared" ref="E530" si="16">E513+E510+E508+E504+E501+E499+E529+E527+E525+E523+E517+E519</f>
        <v>10752203</v>
      </c>
    </row>
    <row r="531" spans="1:5" s="37" customFormat="1" ht="22.5" customHeight="1" x14ac:dyDescent="0.25">
      <c r="A531" s="15" t="s">
        <v>27</v>
      </c>
      <c r="B531" s="9" t="s">
        <v>414</v>
      </c>
      <c r="C531" s="9" t="s">
        <v>195</v>
      </c>
      <c r="D531" s="14" t="s">
        <v>0</v>
      </c>
      <c r="E531" s="43">
        <v>1000000</v>
      </c>
    </row>
    <row r="532" spans="1:5" s="37" customFormat="1" ht="22.5" customHeight="1" x14ac:dyDescent="0.25">
      <c r="A532" s="12" t="s">
        <v>31</v>
      </c>
      <c r="B532" s="12"/>
      <c r="C532" s="12"/>
      <c r="D532" s="12"/>
      <c r="E532" s="42">
        <f>SUM(E531)</f>
        <v>1000000</v>
      </c>
    </row>
    <row r="533" spans="1:5" s="37" customFormat="1" ht="22.5" customHeight="1" x14ac:dyDescent="0.25">
      <c r="A533" s="15" t="s">
        <v>27</v>
      </c>
      <c r="B533" s="11" t="s">
        <v>522</v>
      </c>
      <c r="C533" s="11" t="s">
        <v>326</v>
      </c>
      <c r="D533" s="14" t="s">
        <v>0</v>
      </c>
      <c r="E533" s="43">
        <v>500000</v>
      </c>
    </row>
    <row r="534" spans="1:5" s="37" customFormat="1" ht="22.5" customHeight="1" x14ac:dyDescent="0.25">
      <c r="A534" s="15"/>
      <c r="B534" s="11"/>
      <c r="C534" s="11"/>
      <c r="D534" s="14" t="s">
        <v>1</v>
      </c>
      <c r="E534" s="43">
        <v>3400000</v>
      </c>
    </row>
    <row r="535" spans="1:5" s="37" customFormat="1" ht="22.5" customHeight="1" x14ac:dyDescent="0.25">
      <c r="A535" s="15"/>
      <c r="B535" s="11"/>
      <c r="C535" s="11"/>
      <c r="D535" s="14" t="s">
        <v>40</v>
      </c>
      <c r="E535" s="43">
        <v>160000</v>
      </c>
    </row>
    <row r="536" spans="1:5" s="37" customFormat="1" ht="22.5" customHeight="1" x14ac:dyDescent="0.25">
      <c r="A536" s="26"/>
      <c r="B536" s="17"/>
      <c r="C536" s="17"/>
      <c r="D536" s="50" t="s">
        <v>153</v>
      </c>
      <c r="E536" s="40">
        <v>160000</v>
      </c>
    </row>
    <row r="537" spans="1:5" s="37" customFormat="1" ht="22.5" customHeight="1" x14ac:dyDescent="0.25">
      <c r="A537" s="12" t="s">
        <v>31</v>
      </c>
      <c r="B537" s="12"/>
      <c r="C537" s="12"/>
      <c r="D537" s="12"/>
      <c r="E537" s="42">
        <f>SUM(E533:E536)</f>
        <v>4220000</v>
      </c>
    </row>
    <row r="538" spans="1:5" s="37" customFormat="1" ht="22.5" customHeight="1" x14ac:dyDescent="0.25">
      <c r="A538" s="15" t="s">
        <v>27</v>
      </c>
      <c r="B538" s="9" t="s">
        <v>415</v>
      </c>
      <c r="C538" s="9" t="s">
        <v>196</v>
      </c>
      <c r="D538" s="14" t="s">
        <v>0</v>
      </c>
      <c r="E538" s="43">
        <v>1000000</v>
      </c>
    </row>
    <row r="539" spans="1:5" s="37" customFormat="1" ht="22.5" customHeight="1" x14ac:dyDescent="0.25">
      <c r="A539" s="15"/>
      <c r="B539" s="9"/>
      <c r="C539" s="9"/>
      <c r="D539" s="14" t="s">
        <v>40</v>
      </c>
      <c r="E539" s="43">
        <v>300000</v>
      </c>
    </row>
    <row r="540" spans="1:5" s="37" customFormat="1" ht="22.5" customHeight="1" x14ac:dyDescent="0.25">
      <c r="A540" s="12" t="s">
        <v>31</v>
      </c>
      <c r="B540" s="12"/>
      <c r="C540" s="12"/>
      <c r="D540" s="12"/>
      <c r="E540" s="42">
        <f>SUM(E538:E539)</f>
        <v>1300000</v>
      </c>
    </row>
    <row r="541" spans="1:5" s="37" customFormat="1" ht="22.5" customHeight="1" x14ac:dyDescent="0.25">
      <c r="A541" s="15" t="s">
        <v>27</v>
      </c>
      <c r="B541" s="9" t="s">
        <v>400</v>
      </c>
      <c r="C541" s="9" t="s">
        <v>113</v>
      </c>
      <c r="D541" s="14" t="s">
        <v>0</v>
      </c>
      <c r="E541" s="44">
        <v>50000</v>
      </c>
    </row>
    <row r="542" spans="1:5" s="37" customFormat="1" ht="22.5" customHeight="1" x14ac:dyDescent="0.25">
      <c r="A542" s="15"/>
      <c r="B542" s="9"/>
      <c r="C542" s="9"/>
      <c r="D542" s="14" t="s">
        <v>1</v>
      </c>
      <c r="E542" s="44">
        <f>85475+85475</f>
        <v>170950</v>
      </c>
    </row>
    <row r="543" spans="1:5" s="37" customFormat="1" ht="22.5" customHeight="1" x14ac:dyDescent="0.25">
      <c r="A543" s="15"/>
      <c r="B543" s="9"/>
      <c r="C543" s="9"/>
      <c r="D543" s="14" t="s">
        <v>40</v>
      </c>
      <c r="E543" s="44">
        <f>337417+450023</f>
        <v>787440</v>
      </c>
    </row>
    <row r="544" spans="1:5" s="37" customFormat="1" ht="22.5" customHeight="1" x14ac:dyDescent="0.25">
      <c r="A544" s="12" t="s">
        <v>31</v>
      </c>
      <c r="B544" s="12"/>
      <c r="C544" s="12"/>
      <c r="D544" s="12"/>
      <c r="E544" s="47">
        <f>SUM(E541:E543)</f>
        <v>1008390</v>
      </c>
    </row>
    <row r="545" spans="1:5" s="37" customFormat="1" ht="22.5" customHeight="1" x14ac:dyDescent="0.25">
      <c r="A545" s="11" t="s">
        <v>27</v>
      </c>
      <c r="B545" s="11" t="s">
        <v>401</v>
      </c>
      <c r="C545" s="11" t="s">
        <v>133</v>
      </c>
      <c r="D545" s="14" t="s">
        <v>1</v>
      </c>
      <c r="E545" s="44">
        <v>159000</v>
      </c>
    </row>
    <row r="546" spans="1:5" s="37" customFormat="1" ht="22.5" customHeight="1" x14ac:dyDescent="0.25">
      <c r="A546" s="12" t="s">
        <v>31</v>
      </c>
      <c r="B546" s="12"/>
      <c r="C546" s="12"/>
      <c r="D546" s="12"/>
      <c r="E546" s="47">
        <f>SUM(E545)</f>
        <v>159000</v>
      </c>
    </row>
    <row r="547" spans="1:5" s="38" customFormat="1" ht="22.5" customHeight="1" x14ac:dyDescent="0.25">
      <c r="A547" s="18" t="s">
        <v>47</v>
      </c>
      <c r="B547" s="18"/>
      <c r="C547" s="18"/>
      <c r="D547" s="18"/>
      <c r="E547" s="42">
        <f>E540+E537+E532+E546+E544</f>
        <v>7687390</v>
      </c>
    </row>
    <row r="548" spans="1:5" s="37" customFormat="1" ht="22.5" customHeight="1" x14ac:dyDescent="0.25">
      <c r="A548" s="15" t="s">
        <v>157</v>
      </c>
      <c r="B548" s="9" t="s">
        <v>523</v>
      </c>
      <c r="C548" s="9" t="s">
        <v>323</v>
      </c>
      <c r="D548" s="14" t="s">
        <v>158</v>
      </c>
      <c r="E548" s="43">
        <v>1155000</v>
      </c>
    </row>
    <row r="549" spans="1:5" s="37" customFormat="1" ht="35.25" customHeight="1" x14ac:dyDescent="0.25">
      <c r="A549" s="12" t="s">
        <v>31</v>
      </c>
      <c r="B549" s="12"/>
      <c r="C549" s="12"/>
      <c r="D549" s="12"/>
      <c r="E549" s="42">
        <f>E548</f>
        <v>1155000</v>
      </c>
    </row>
    <row r="550" spans="1:5" s="37" customFormat="1" ht="22.5" customHeight="1" x14ac:dyDescent="0.25">
      <c r="A550" s="15" t="s">
        <v>157</v>
      </c>
      <c r="B550" s="9" t="s">
        <v>524</v>
      </c>
      <c r="C550" s="9" t="s">
        <v>159</v>
      </c>
      <c r="D550" s="14" t="s">
        <v>158</v>
      </c>
      <c r="E550" s="43">
        <v>693000</v>
      </c>
    </row>
    <row r="551" spans="1:5" s="37" customFormat="1" ht="33" customHeight="1" x14ac:dyDescent="0.25">
      <c r="A551" s="12" t="s">
        <v>31</v>
      </c>
      <c r="B551" s="12"/>
      <c r="C551" s="12"/>
      <c r="D551" s="12"/>
      <c r="E551" s="42">
        <f>E550</f>
        <v>693000</v>
      </c>
    </row>
    <row r="552" spans="1:5" s="37" customFormat="1" ht="22.5" customHeight="1" x14ac:dyDescent="0.25">
      <c r="A552" s="15" t="s">
        <v>160</v>
      </c>
      <c r="B552" s="9" t="s">
        <v>525</v>
      </c>
      <c r="C552" s="9" t="s">
        <v>161</v>
      </c>
      <c r="D552" s="14" t="s">
        <v>158</v>
      </c>
      <c r="E552" s="43">
        <v>283790</v>
      </c>
    </row>
    <row r="553" spans="1:5" s="37" customFormat="1" ht="31.5" customHeight="1" x14ac:dyDescent="0.25">
      <c r="A553" s="12" t="s">
        <v>31</v>
      </c>
      <c r="B553" s="12"/>
      <c r="C553" s="12"/>
      <c r="D553" s="12"/>
      <c r="E553" s="42">
        <f>SUM(E552:E552)</f>
        <v>283790</v>
      </c>
    </row>
    <row r="554" spans="1:5" s="37" customFormat="1" ht="22.5" customHeight="1" x14ac:dyDescent="0.25">
      <c r="A554" s="15" t="s">
        <v>160</v>
      </c>
      <c r="B554" s="9" t="s">
        <v>526</v>
      </c>
      <c r="C554" s="9" t="s">
        <v>162</v>
      </c>
      <c r="D554" s="14" t="s">
        <v>158</v>
      </c>
      <c r="E554" s="43">
        <v>321000</v>
      </c>
    </row>
    <row r="555" spans="1:5" s="37" customFormat="1" ht="26.25" customHeight="1" x14ac:dyDescent="0.25">
      <c r="A555" s="12" t="s">
        <v>31</v>
      </c>
      <c r="B555" s="12"/>
      <c r="C555" s="12"/>
      <c r="D555" s="12"/>
      <c r="E555" s="42">
        <f>SUM(E554:E554)</f>
        <v>321000</v>
      </c>
    </row>
    <row r="556" spans="1:5" s="38" customFormat="1" ht="22.5" customHeight="1" x14ac:dyDescent="0.25">
      <c r="A556" s="18" t="s">
        <v>47</v>
      </c>
      <c r="B556" s="18"/>
      <c r="C556" s="18"/>
      <c r="D556" s="18"/>
      <c r="E556" s="42">
        <f>E555+E553+E551+E549</f>
        <v>2452790</v>
      </c>
    </row>
    <row r="557" spans="1:5" s="37" customFormat="1" ht="30.75" customHeight="1" x14ac:dyDescent="0.2">
      <c r="A557" s="21" t="s">
        <v>420</v>
      </c>
      <c r="B557" s="21" t="s">
        <v>527</v>
      </c>
      <c r="C557" s="21" t="s">
        <v>421</v>
      </c>
      <c r="D557" s="74" t="s">
        <v>559</v>
      </c>
      <c r="E557" s="51">
        <v>220000</v>
      </c>
    </row>
    <row r="558" spans="1:5" s="37" customFormat="1" ht="22.5" customHeight="1" x14ac:dyDescent="0.25">
      <c r="A558" s="22"/>
      <c r="B558" s="22"/>
      <c r="C558" s="22"/>
      <c r="D558" s="10" t="s">
        <v>153</v>
      </c>
      <c r="E558" s="51">
        <v>460000</v>
      </c>
    </row>
    <row r="559" spans="1:5" s="37" customFormat="1" ht="22.5" customHeight="1" x14ac:dyDescent="0.25">
      <c r="A559" s="12" t="s">
        <v>31</v>
      </c>
      <c r="B559" s="12"/>
      <c r="C559" s="12"/>
      <c r="D559" s="12"/>
      <c r="E559" s="42">
        <f>SUM(E557:E558)</f>
        <v>680000</v>
      </c>
    </row>
    <row r="560" spans="1:5" s="37" customFormat="1" ht="22.5" customHeight="1" x14ac:dyDescent="0.25">
      <c r="A560" s="9" t="s">
        <v>53</v>
      </c>
      <c r="B560" s="9" t="s">
        <v>402</v>
      </c>
      <c r="C560" s="9" t="s">
        <v>54</v>
      </c>
      <c r="D560" s="9" t="s">
        <v>100</v>
      </c>
      <c r="E560" s="67">
        <v>870047</v>
      </c>
    </row>
    <row r="561" spans="1:5" s="37" customFormat="1" ht="22.5" customHeight="1" x14ac:dyDescent="0.25">
      <c r="A561" s="15"/>
      <c r="B561" s="15"/>
      <c r="C561" s="15"/>
      <c r="D561" s="12" t="s">
        <v>2</v>
      </c>
      <c r="E561" s="67"/>
    </row>
    <row r="562" spans="1:5" s="37" customFormat="1" ht="22.5" customHeight="1" x14ac:dyDescent="0.25">
      <c r="A562" s="12" t="s">
        <v>31</v>
      </c>
      <c r="B562" s="12"/>
      <c r="C562" s="12"/>
      <c r="D562" s="12"/>
      <c r="E562" s="47">
        <f>SUM(E560:E561)</f>
        <v>870047</v>
      </c>
    </row>
    <row r="563" spans="1:5" s="37" customFormat="1" ht="22.5" customHeight="1" x14ac:dyDescent="0.25">
      <c r="A563" s="10" t="s">
        <v>53</v>
      </c>
      <c r="B563" s="9" t="s">
        <v>403</v>
      </c>
      <c r="C563" s="9" t="s">
        <v>55</v>
      </c>
      <c r="D563" s="9" t="s">
        <v>37</v>
      </c>
      <c r="E563" s="67">
        <v>712500</v>
      </c>
    </row>
    <row r="564" spans="1:5" s="37" customFormat="1" ht="22.5" customHeight="1" x14ac:dyDescent="0.25">
      <c r="A564" s="15"/>
      <c r="B564" s="15"/>
      <c r="C564" s="15"/>
      <c r="D564" s="12" t="s">
        <v>2</v>
      </c>
      <c r="E564" s="67"/>
    </row>
    <row r="565" spans="1:5" s="37" customFormat="1" ht="22.5" customHeight="1" x14ac:dyDescent="0.25">
      <c r="A565" s="12" t="s">
        <v>31</v>
      </c>
      <c r="B565" s="12"/>
      <c r="C565" s="12"/>
      <c r="D565" s="12"/>
      <c r="E565" s="47">
        <f>SUM(E563:E564)</f>
        <v>712500</v>
      </c>
    </row>
    <row r="566" spans="1:5" s="38" customFormat="1" ht="22.5" customHeight="1" x14ac:dyDescent="0.25">
      <c r="A566" s="18" t="s">
        <v>47</v>
      </c>
      <c r="B566" s="18"/>
      <c r="C566" s="18"/>
      <c r="D566" s="18"/>
      <c r="E566" s="42">
        <f>E559+E565+E562</f>
        <v>2262547</v>
      </c>
    </row>
    <row r="567" spans="1:5" s="37" customFormat="1" ht="37.5" customHeight="1" x14ac:dyDescent="0.25">
      <c r="A567" s="9" t="s">
        <v>163</v>
      </c>
      <c r="B567" s="9" t="s">
        <v>528</v>
      </c>
      <c r="C567" s="9" t="s">
        <v>164</v>
      </c>
      <c r="D567" s="14" t="s">
        <v>40</v>
      </c>
      <c r="E567" s="49">
        <v>3000000</v>
      </c>
    </row>
    <row r="568" spans="1:5" s="37" customFormat="1" ht="22.5" customHeight="1" x14ac:dyDescent="0.25">
      <c r="A568" s="12" t="s">
        <v>31</v>
      </c>
      <c r="B568" s="12"/>
      <c r="C568" s="12"/>
      <c r="D568" s="12"/>
      <c r="E568" s="42">
        <f>SUM(E567)</f>
        <v>3000000</v>
      </c>
    </row>
    <row r="569" spans="1:5" s="37" customFormat="1" ht="22.5" customHeight="1" x14ac:dyDescent="0.25">
      <c r="A569" s="9" t="s">
        <v>163</v>
      </c>
      <c r="B569" s="9" t="s">
        <v>529</v>
      </c>
      <c r="C569" s="9" t="s">
        <v>165</v>
      </c>
      <c r="D569" s="14" t="s">
        <v>56</v>
      </c>
      <c r="E569" s="49">
        <v>2500000</v>
      </c>
    </row>
    <row r="570" spans="1:5" s="37" customFormat="1" ht="22.5" customHeight="1" x14ac:dyDescent="0.25">
      <c r="A570" s="12" t="s">
        <v>31</v>
      </c>
      <c r="B570" s="12"/>
      <c r="C570" s="12"/>
      <c r="D570" s="12"/>
      <c r="E570" s="42">
        <f>SUM(E569)</f>
        <v>2500000</v>
      </c>
    </row>
    <row r="571" spans="1:5" s="37" customFormat="1" ht="30" customHeight="1" x14ac:dyDescent="0.25">
      <c r="A571" s="9" t="s">
        <v>166</v>
      </c>
      <c r="B571" s="9" t="s">
        <v>530</v>
      </c>
      <c r="C571" s="9" t="s">
        <v>167</v>
      </c>
      <c r="D571" s="9" t="s">
        <v>0</v>
      </c>
      <c r="E571" s="51">
        <v>3000000</v>
      </c>
    </row>
    <row r="572" spans="1:5" s="37" customFormat="1" ht="18.75" customHeight="1" x14ac:dyDescent="0.25">
      <c r="A572" s="12" t="s">
        <v>31</v>
      </c>
      <c r="B572" s="12"/>
      <c r="C572" s="12"/>
      <c r="D572" s="12"/>
      <c r="E572" s="42">
        <f>SUM(E571)</f>
        <v>3000000</v>
      </c>
    </row>
    <row r="573" spans="1:5" s="38" customFormat="1" ht="17.25" customHeight="1" x14ac:dyDescent="0.25">
      <c r="A573" s="18" t="s">
        <v>47</v>
      </c>
      <c r="B573" s="18"/>
      <c r="C573" s="18"/>
      <c r="D573" s="18"/>
      <c r="E573" s="42">
        <f>E572+E570+E568</f>
        <v>8500000</v>
      </c>
    </row>
    <row r="574" spans="1:5" s="37" customFormat="1" ht="19.5" customHeight="1" x14ac:dyDescent="0.25">
      <c r="A574" s="11" t="s">
        <v>29</v>
      </c>
      <c r="B574" s="11" t="s">
        <v>404</v>
      </c>
      <c r="C574" s="11" t="s">
        <v>134</v>
      </c>
      <c r="D574" s="45" t="s">
        <v>1</v>
      </c>
      <c r="E574" s="44">
        <f>474877+490332+225291+8410</f>
        <v>1198910</v>
      </c>
    </row>
    <row r="575" spans="1:5" s="37" customFormat="1" ht="22.5" customHeight="1" x14ac:dyDescent="0.25">
      <c r="A575" s="11" t="s">
        <v>29</v>
      </c>
      <c r="B575" s="11" t="s">
        <v>405</v>
      </c>
      <c r="C575" s="11" t="s">
        <v>135</v>
      </c>
      <c r="D575" s="45" t="s">
        <v>1</v>
      </c>
      <c r="E575" s="44">
        <f>395452+42196+461748+129694</f>
        <v>1029090</v>
      </c>
    </row>
    <row r="576" spans="1:5" s="38" customFormat="1" ht="16.5" customHeight="1" x14ac:dyDescent="0.25">
      <c r="A576" s="75" t="s">
        <v>47</v>
      </c>
      <c r="B576" s="75"/>
      <c r="C576" s="75"/>
      <c r="D576" s="75"/>
      <c r="E576" s="42">
        <f>SUM(E574:E575)</f>
        <v>2228000</v>
      </c>
    </row>
    <row r="577" spans="1:5" s="37" customFormat="1" ht="33.75" customHeight="1" x14ac:dyDescent="0.25">
      <c r="A577" s="21" t="s">
        <v>7</v>
      </c>
      <c r="B577" s="21" t="s">
        <v>531</v>
      </c>
      <c r="C577" s="21" t="s">
        <v>204</v>
      </c>
      <c r="D577" s="14" t="s">
        <v>1</v>
      </c>
      <c r="E577" s="51">
        <v>2000000</v>
      </c>
    </row>
    <row r="578" spans="1:5" s="37" customFormat="1" ht="22.5" customHeight="1" x14ac:dyDescent="0.25">
      <c r="A578" s="21"/>
      <c r="B578" s="21"/>
      <c r="C578" s="21"/>
      <c r="D578" s="9" t="s">
        <v>40</v>
      </c>
      <c r="E578" s="51">
        <v>2000000</v>
      </c>
    </row>
    <row r="579" spans="1:5" s="37" customFormat="1" ht="22.5" customHeight="1" x14ac:dyDescent="0.25">
      <c r="A579" s="22"/>
      <c r="B579" s="22"/>
      <c r="C579" s="22"/>
      <c r="D579" s="10" t="s">
        <v>153</v>
      </c>
      <c r="E579" s="51">
        <v>650000</v>
      </c>
    </row>
    <row r="580" spans="1:5" s="37" customFormat="1" ht="22.5" customHeight="1" x14ac:dyDescent="0.25">
      <c r="A580" s="12" t="s">
        <v>31</v>
      </c>
      <c r="B580" s="12"/>
      <c r="C580" s="12"/>
      <c r="D580" s="12"/>
      <c r="E580" s="42">
        <f>SUM(E577:E579)</f>
        <v>4650000</v>
      </c>
    </row>
    <row r="581" spans="1:5" s="37" customFormat="1" ht="22.5" customHeight="1" x14ac:dyDescent="0.25">
      <c r="A581" s="21" t="s">
        <v>7</v>
      </c>
      <c r="B581" s="21" t="s">
        <v>532</v>
      </c>
      <c r="C581" s="21" t="s">
        <v>306</v>
      </c>
      <c r="D581" s="14" t="s">
        <v>1</v>
      </c>
      <c r="E581" s="49">
        <v>1000000</v>
      </c>
    </row>
    <row r="582" spans="1:5" s="37" customFormat="1" ht="33" customHeight="1" x14ac:dyDescent="0.25">
      <c r="A582" s="12" t="s">
        <v>31</v>
      </c>
      <c r="B582" s="12"/>
      <c r="C582" s="12"/>
      <c r="D582" s="12"/>
      <c r="E582" s="42">
        <f>SUM(E581)</f>
        <v>1000000</v>
      </c>
    </row>
    <row r="583" spans="1:5" s="37" customFormat="1" ht="22.5" customHeight="1" x14ac:dyDescent="0.25">
      <c r="A583" s="15" t="s">
        <v>256</v>
      </c>
      <c r="B583" s="15" t="s">
        <v>533</v>
      </c>
      <c r="C583" s="15" t="s">
        <v>257</v>
      </c>
      <c r="D583" s="9" t="s">
        <v>40</v>
      </c>
      <c r="E583" s="43">
        <v>1700000</v>
      </c>
    </row>
    <row r="584" spans="1:5" s="37" customFormat="1" ht="35.25" customHeight="1" x14ac:dyDescent="0.25">
      <c r="A584" s="12" t="s">
        <v>31</v>
      </c>
      <c r="B584" s="12"/>
      <c r="C584" s="12"/>
      <c r="D584" s="12"/>
      <c r="E584" s="42">
        <f>SUM(E583)</f>
        <v>1700000</v>
      </c>
    </row>
    <row r="585" spans="1:5" s="37" customFormat="1" ht="22.5" customHeight="1" x14ac:dyDescent="0.25">
      <c r="A585" s="21" t="s">
        <v>258</v>
      </c>
      <c r="B585" s="21" t="s">
        <v>534</v>
      </c>
      <c r="C585" s="21" t="s">
        <v>307</v>
      </c>
      <c r="D585" s="9" t="s">
        <v>40</v>
      </c>
      <c r="E585" s="51">
        <v>2900000</v>
      </c>
    </row>
    <row r="586" spans="1:5" s="37" customFormat="1" ht="22.5" customHeight="1" x14ac:dyDescent="0.25">
      <c r="A586" s="12" t="s">
        <v>31</v>
      </c>
      <c r="B586" s="12"/>
      <c r="C586" s="12"/>
      <c r="D586" s="12"/>
      <c r="E586" s="47">
        <f>SUM(E585)</f>
        <v>2900000</v>
      </c>
    </row>
    <row r="587" spans="1:5" s="37" customFormat="1" ht="22.5" customHeight="1" x14ac:dyDescent="0.25">
      <c r="A587" s="15" t="s">
        <v>259</v>
      </c>
      <c r="B587" s="15" t="s">
        <v>535</v>
      </c>
      <c r="C587" s="15" t="s">
        <v>308</v>
      </c>
      <c r="D587" s="48" t="s">
        <v>0</v>
      </c>
      <c r="E587" s="58">
        <v>600000</v>
      </c>
    </row>
    <row r="588" spans="1:5" s="37" customFormat="1" ht="22.5" customHeight="1" x14ac:dyDescent="0.25">
      <c r="A588" s="15"/>
      <c r="B588" s="15"/>
      <c r="C588" s="15"/>
      <c r="D588" s="14" t="s">
        <v>1</v>
      </c>
      <c r="E588" s="58">
        <v>1000000</v>
      </c>
    </row>
    <row r="589" spans="1:5" s="37" customFormat="1" ht="22.5" customHeight="1" x14ac:dyDescent="0.25">
      <c r="A589" s="15"/>
      <c r="B589" s="15"/>
      <c r="C589" s="15"/>
      <c r="D589" s="9" t="s">
        <v>40</v>
      </c>
      <c r="E589" s="58">
        <v>400000</v>
      </c>
    </row>
    <row r="590" spans="1:5" s="37" customFormat="1" ht="22.5" customHeight="1" x14ac:dyDescent="0.25">
      <c r="A590" s="12" t="s">
        <v>31</v>
      </c>
      <c r="B590" s="12"/>
      <c r="C590" s="12"/>
      <c r="D590" s="12"/>
      <c r="E590" s="47">
        <f>SUM(E587:E589)</f>
        <v>2000000</v>
      </c>
    </row>
    <row r="591" spans="1:5" s="37" customFormat="1" ht="22.5" customHeight="1" x14ac:dyDescent="0.25">
      <c r="A591" s="15" t="s">
        <v>260</v>
      </c>
      <c r="B591" s="15" t="s">
        <v>536</v>
      </c>
      <c r="C591" s="15" t="s">
        <v>261</v>
      </c>
      <c r="D591" s="14" t="s">
        <v>305</v>
      </c>
      <c r="E591" s="58">
        <v>1600000</v>
      </c>
    </row>
    <row r="592" spans="1:5" s="37" customFormat="1" ht="22.5" customHeight="1" x14ac:dyDescent="0.25">
      <c r="A592" s="12" t="s">
        <v>31</v>
      </c>
      <c r="B592" s="12"/>
      <c r="C592" s="12"/>
      <c r="D592" s="12"/>
      <c r="E592" s="47">
        <f>SUM(E591:E591)</f>
        <v>1600000</v>
      </c>
    </row>
    <row r="593" spans="1:5" s="37" customFormat="1" ht="22.5" customHeight="1" x14ac:dyDescent="0.25">
      <c r="A593" s="21" t="s">
        <v>7</v>
      </c>
      <c r="B593" s="21" t="s">
        <v>406</v>
      </c>
      <c r="C593" s="21" t="s">
        <v>62</v>
      </c>
      <c r="D593" s="14" t="s">
        <v>1</v>
      </c>
      <c r="E593" s="67">
        <v>398898</v>
      </c>
    </row>
    <row r="594" spans="1:5" s="37" customFormat="1" ht="22.5" customHeight="1" x14ac:dyDescent="0.25">
      <c r="A594" s="21"/>
      <c r="B594" s="21"/>
      <c r="C594" s="21"/>
      <c r="D594" s="9" t="s">
        <v>100</v>
      </c>
      <c r="E594" s="67"/>
    </row>
    <row r="595" spans="1:5" s="37" customFormat="1" ht="22.5" customHeight="1" x14ac:dyDescent="0.25">
      <c r="A595" s="12" t="s">
        <v>31</v>
      </c>
      <c r="B595" s="12"/>
      <c r="C595" s="12"/>
      <c r="D595" s="12"/>
      <c r="E595" s="47">
        <f>SUM(E593:E594)</f>
        <v>398898</v>
      </c>
    </row>
    <row r="596" spans="1:5" s="37" customFormat="1" ht="22.5" customHeight="1" x14ac:dyDescent="0.25">
      <c r="A596" s="21" t="s">
        <v>30</v>
      </c>
      <c r="B596" s="21" t="s">
        <v>407</v>
      </c>
      <c r="C596" s="21" t="s">
        <v>63</v>
      </c>
      <c r="D596" s="9" t="s">
        <v>76</v>
      </c>
      <c r="E596" s="67">
        <v>1382736</v>
      </c>
    </row>
    <row r="597" spans="1:5" s="37" customFormat="1" ht="22.5" customHeight="1" x14ac:dyDescent="0.25">
      <c r="A597" s="21"/>
      <c r="B597" s="21"/>
      <c r="C597" s="21"/>
      <c r="D597" s="14" t="s">
        <v>1</v>
      </c>
      <c r="E597" s="67"/>
    </row>
    <row r="598" spans="1:5" s="37" customFormat="1" ht="22.5" customHeight="1" x14ac:dyDescent="0.25">
      <c r="A598" s="21"/>
      <c r="B598" s="21"/>
      <c r="C598" s="21"/>
      <c r="D598" s="9" t="s">
        <v>100</v>
      </c>
      <c r="E598" s="67"/>
    </row>
    <row r="599" spans="1:5" s="37" customFormat="1" ht="22.5" customHeight="1" x14ac:dyDescent="0.25">
      <c r="A599" s="12" t="s">
        <v>31</v>
      </c>
      <c r="B599" s="12"/>
      <c r="C599" s="12"/>
      <c r="D599" s="12"/>
      <c r="E599" s="47">
        <f>SUM(E596:E598)</f>
        <v>1382736</v>
      </c>
    </row>
    <row r="600" spans="1:5" s="37" customFormat="1" ht="22.5" customHeight="1" x14ac:dyDescent="0.25">
      <c r="A600" s="15" t="s">
        <v>136</v>
      </c>
      <c r="B600" s="15" t="s">
        <v>408</v>
      </c>
      <c r="C600" s="15" t="s">
        <v>137</v>
      </c>
      <c r="D600" s="14" t="s">
        <v>0</v>
      </c>
      <c r="E600" s="67">
        <v>743841</v>
      </c>
    </row>
    <row r="601" spans="1:5" s="37" customFormat="1" ht="22.5" customHeight="1" x14ac:dyDescent="0.25">
      <c r="A601" s="21"/>
      <c r="B601" s="21"/>
      <c r="C601" s="21"/>
      <c r="D601" s="21" t="s">
        <v>40</v>
      </c>
      <c r="E601" s="67"/>
    </row>
    <row r="602" spans="1:5" s="37" customFormat="1" ht="22.5" customHeight="1" x14ac:dyDescent="0.25">
      <c r="A602" s="21"/>
      <c r="B602" s="21"/>
      <c r="C602" s="21"/>
      <c r="D602" s="21" t="s">
        <v>2</v>
      </c>
      <c r="E602" s="67"/>
    </row>
    <row r="603" spans="1:5" s="37" customFormat="1" ht="22.5" customHeight="1" x14ac:dyDescent="0.25">
      <c r="A603" s="12" t="s">
        <v>31</v>
      </c>
      <c r="B603" s="12"/>
      <c r="C603" s="12"/>
      <c r="D603" s="12"/>
      <c r="E603" s="47">
        <f>SUM(E600:E602)</f>
        <v>743841</v>
      </c>
    </row>
    <row r="604" spans="1:5" s="38" customFormat="1" ht="22.5" customHeight="1" x14ac:dyDescent="0.25">
      <c r="A604" s="18" t="s">
        <v>47</v>
      </c>
      <c r="B604" s="18"/>
      <c r="C604" s="18"/>
      <c r="D604" s="18"/>
      <c r="E604" s="42">
        <f t="shared" ref="E604" si="17">E592+E590+E586+E584+E582+E580+E603+E599+E595</f>
        <v>16375475</v>
      </c>
    </row>
    <row r="605" spans="1:5" s="37" customFormat="1" ht="22.5" customHeight="1" x14ac:dyDescent="0.25">
      <c r="A605" s="9" t="s">
        <v>36</v>
      </c>
      <c r="B605" s="9" t="s">
        <v>537</v>
      </c>
      <c r="C605" s="9" t="s">
        <v>262</v>
      </c>
      <c r="D605" s="14" t="s">
        <v>1</v>
      </c>
      <c r="E605" s="49">
        <v>1200000</v>
      </c>
    </row>
    <row r="606" spans="1:5" s="37" customFormat="1" ht="26.25" customHeight="1" x14ac:dyDescent="0.25">
      <c r="A606" s="12" t="s">
        <v>31</v>
      </c>
      <c r="B606" s="12"/>
      <c r="C606" s="12"/>
      <c r="D606" s="12"/>
      <c r="E606" s="42">
        <f>SUM(E605)</f>
        <v>1200000</v>
      </c>
    </row>
    <row r="607" spans="1:5" s="37" customFormat="1" ht="22.5" customHeight="1" x14ac:dyDescent="0.25">
      <c r="A607" s="10" t="s">
        <v>263</v>
      </c>
      <c r="B607" s="10" t="s">
        <v>538</v>
      </c>
      <c r="C607" s="10" t="s">
        <v>264</v>
      </c>
      <c r="D607" s="10" t="s">
        <v>153</v>
      </c>
      <c r="E607" s="64">
        <v>600000</v>
      </c>
    </row>
    <row r="608" spans="1:5" s="37" customFormat="1" ht="24" customHeight="1" x14ac:dyDescent="0.25">
      <c r="A608" s="12" t="s">
        <v>31</v>
      </c>
      <c r="B608" s="12"/>
      <c r="C608" s="12"/>
      <c r="D608" s="12"/>
      <c r="E608" s="42">
        <f>SUM(E607)</f>
        <v>600000</v>
      </c>
    </row>
    <row r="609" spans="1:5" s="37" customFormat="1" ht="22.5" customHeight="1" x14ac:dyDescent="0.25">
      <c r="A609" s="10" t="s">
        <v>265</v>
      </c>
      <c r="B609" s="9" t="s">
        <v>539</v>
      </c>
      <c r="C609" s="9" t="s">
        <v>266</v>
      </c>
      <c r="D609" s="14" t="s">
        <v>1</v>
      </c>
      <c r="E609" s="47">
        <v>1200000</v>
      </c>
    </row>
    <row r="610" spans="1:5" s="37" customFormat="1" ht="22.5" customHeight="1" x14ac:dyDescent="0.25">
      <c r="A610" s="10"/>
      <c r="B610" s="9"/>
      <c r="C610" s="9"/>
      <c r="D610" s="9" t="s">
        <v>40</v>
      </c>
      <c r="E610" s="49">
        <v>200000</v>
      </c>
    </row>
    <row r="611" spans="1:5" s="37" customFormat="1" ht="22.5" customHeight="1" x14ac:dyDescent="0.25">
      <c r="A611" s="10"/>
      <c r="B611" s="10"/>
      <c r="C611" s="10"/>
      <c r="D611" s="10" t="s">
        <v>153</v>
      </c>
      <c r="E611" s="51">
        <v>200000</v>
      </c>
    </row>
    <row r="612" spans="1:5" s="37" customFormat="1" ht="21.75" customHeight="1" x14ac:dyDescent="0.25">
      <c r="A612" s="12" t="s">
        <v>31</v>
      </c>
      <c r="B612" s="12"/>
      <c r="C612" s="12"/>
      <c r="D612" s="12"/>
      <c r="E612" s="42">
        <f>SUM(E609:E611)</f>
        <v>1600000</v>
      </c>
    </row>
    <row r="613" spans="1:5" s="37" customFormat="1" ht="22.5" customHeight="1" x14ac:dyDescent="0.25">
      <c r="A613" s="9" t="s">
        <v>35</v>
      </c>
      <c r="B613" s="9" t="s">
        <v>540</v>
      </c>
      <c r="C613" s="9" t="s">
        <v>301</v>
      </c>
      <c r="D613" s="14" t="s">
        <v>1</v>
      </c>
      <c r="E613" s="49">
        <v>2000000</v>
      </c>
    </row>
    <row r="614" spans="1:5" s="37" customFormat="1" ht="22.5" customHeight="1" x14ac:dyDescent="0.25">
      <c r="A614" s="10"/>
      <c r="B614" s="10"/>
      <c r="C614" s="10"/>
      <c r="D614" s="10" t="s">
        <v>153</v>
      </c>
      <c r="E614" s="51">
        <v>500000</v>
      </c>
    </row>
    <row r="615" spans="1:5" s="37" customFormat="1" ht="22.5" customHeight="1" x14ac:dyDescent="0.25">
      <c r="A615" s="12" t="s">
        <v>31</v>
      </c>
      <c r="B615" s="12"/>
      <c r="C615" s="12"/>
      <c r="D615" s="12"/>
      <c r="E615" s="42">
        <f>SUM(E613:E614)</f>
        <v>2500000</v>
      </c>
    </row>
    <row r="616" spans="1:5" s="37" customFormat="1" ht="22.5" customHeight="1" x14ac:dyDescent="0.25">
      <c r="A616" s="9" t="s">
        <v>36</v>
      </c>
      <c r="B616" s="9" t="s">
        <v>409</v>
      </c>
      <c r="C616" s="9" t="s">
        <v>58</v>
      </c>
      <c r="D616" s="9" t="s">
        <v>2</v>
      </c>
      <c r="E616" s="44">
        <v>508779</v>
      </c>
    </row>
    <row r="617" spans="1:5" s="37" customFormat="1" ht="22.5" customHeight="1" x14ac:dyDescent="0.25">
      <c r="A617" s="12" t="s">
        <v>31</v>
      </c>
      <c r="B617" s="12"/>
      <c r="C617" s="12"/>
      <c r="D617" s="12"/>
      <c r="E617" s="47">
        <f>SUM(E616)</f>
        <v>508779</v>
      </c>
    </row>
    <row r="618" spans="1:5" s="37" customFormat="1" ht="22.5" customHeight="1" x14ac:dyDescent="0.25">
      <c r="A618" s="9" t="s">
        <v>36</v>
      </c>
      <c r="B618" s="9" t="s">
        <v>410</v>
      </c>
      <c r="C618" s="9" t="s">
        <v>59</v>
      </c>
      <c r="D618" s="9" t="s">
        <v>2</v>
      </c>
      <c r="E618" s="44">
        <v>173225</v>
      </c>
    </row>
    <row r="619" spans="1:5" s="37" customFormat="1" ht="22.5" customHeight="1" x14ac:dyDescent="0.25">
      <c r="A619" s="12" t="s">
        <v>31</v>
      </c>
      <c r="B619" s="12"/>
      <c r="C619" s="12"/>
      <c r="D619" s="12"/>
      <c r="E619" s="47">
        <f>SUM(E618)</f>
        <v>173225</v>
      </c>
    </row>
    <row r="620" spans="1:5" s="37" customFormat="1" ht="22.5" customHeight="1" x14ac:dyDescent="0.25">
      <c r="A620" s="10" t="s">
        <v>35</v>
      </c>
      <c r="B620" s="9" t="s">
        <v>411</v>
      </c>
      <c r="C620" s="9" t="s">
        <v>60</v>
      </c>
      <c r="D620" s="14" t="s">
        <v>1</v>
      </c>
      <c r="E620" s="44">
        <v>350001</v>
      </c>
    </row>
    <row r="621" spans="1:5" s="37" customFormat="1" ht="22.5" customHeight="1" x14ac:dyDescent="0.25">
      <c r="A621" s="12" t="s">
        <v>31</v>
      </c>
      <c r="B621" s="12"/>
      <c r="C621" s="12"/>
      <c r="D621" s="12"/>
      <c r="E621" s="47">
        <f>SUM(E620:E620)</f>
        <v>350001</v>
      </c>
    </row>
    <row r="622" spans="1:5" s="37" customFormat="1" ht="22.5" customHeight="1" x14ac:dyDescent="0.25">
      <c r="A622" s="9" t="s">
        <v>39</v>
      </c>
      <c r="B622" s="9" t="s">
        <v>412</v>
      </c>
      <c r="C622" s="9" t="s">
        <v>61</v>
      </c>
      <c r="D622" s="9" t="s">
        <v>114</v>
      </c>
      <c r="E622" s="44">
        <v>1600000</v>
      </c>
    </row>
    <row r="623" spans="1:5" s="37" customFormat="1" ht="22.5" customHeight="1" x14ac:dyDescent="0.25">
      <c r="A623" s="9"/>
      <c r="B623" s="9"/>
      <c r="C623" s="9"/>
      <c r="D623" s="14" t="s">
        <v>40</v>
      </c>
      <c r="E623" s="44">
        <v>200000</v>
      </c>
    </row>
    <row r="624" spans="1:5" s="37" customFormat="1" ht="22.5" customHeight="1" x14ac:dyDescent="0.25">
      <c r="A624" s="9"/>
      <c r="B624" s="9"/>
      <c r="C624" s="9"/>
      <c r="D624" s="9" t="s">
        <v>2</v>
      </c>
      <c r="E624" s="44">
        <v>200000</v>
      </c>
    </row>
    <row r="625" spans="1:5" s="37" customFormat="1" ht="22.5" customHeight="1" x14ac:dyDescent="0.25">
      <c r="A625" s="12" t="s">
        <v>31</v>
      </c>
      <c r="B625" s="12"/>
      <c r="C625" s="12"/>
      <c r="D625" s="12"/>
      <c r="E625" s="47">
        <f>SUM(E622:E624)</f>
        <v>2000000</v>
      </c>
    </row>
    <row r="626" spans="1:5" s="38" customFormat="1" ht="22.5" customHeight="1" x14ac:dyDescent="0.25">
      <c r="A626" s="18" t="s">
        <v>47</v>
      </c>
      <c r="B626" s="18"/>
      <c r="C626" s="18"/>
      <c r="D626" s="18"/>
      <c r="E626" s="42">
        <f t="shared" ref="E626" si="18">E615+E612+E608+E606+E625+E621+E619+E617</f>
        <v>8932005</v>
      </c>
    </row>
    <row r="627" spans="1:5" s="37" customFormat="1" ht="22.5" customHeight="1" x14ac:dyDescent="0.25">
      <c r="A627" s="9" t="s">
        <v>242</v>
      </c>
      <c r="B627" s="9" t="s">
        <v>541</v>
      </c>
      <c r="C627" s="9" t="s">
        <v>241</v>
      </c>
      <c r="D627" s="9" t="s">
        <v>0</v>
      </c>
      <c r="E627" s="47">
        <v>3000000</v>
      </c>
    </row>
    <row r="628" spans="1:5" s="37" customFormat="1" ht="22.5" customHeight="1" x14ac:dyDescent="0.25">
      <c r="A628" s="12" t="s">
        <v>31</v>
      </c>
      <c r="B628" s="12"/>
      <c r="C628" s="12"/>
      <c r="D628" s="12"/>
      <c r="E628" s="47">
        <f>SUM(E627)</f>
        <v>3000000</v>
      </c>
    </row>
    <row r="629" spans="1:5" s="37" customFormat="1" ht="22.5" customHeight="1" x14ac:dyDescent="0.25">
      <c r="A629" s="9" t="s">
        <v>242</v>
      </c>
      <c r="B629" s="9" t="s">
        <v>542</v>
      </c>
      <c r="C629" s="9" t="s">
        <v>243</v>
      </c>
      <c r="D629" s="9" t="s">
        <v>0</v>
      </c>
      <c r="E629" s="43">
        <v>3500000</v>
      </c>
    </row>
    <row r="630" spans="1:5" s="37" customFormat="1" ht="22.5" customHeight="1" x14ac:dyDescent="0.25">
      <c r="A630" s="9"/>
      <c r="B630" s="9"/>
      <c r="C630" s="9"/>
      <c r="D630" s="9" t="s">
        <v>40</v>
      </c>
      <c r="E630" s="43">
        <v>1400000</v>
      </c>
    </row>
    <row r="631" spans="1:5" s="37" customFormat="1" ht="22.5" customHeight="1" x14ac:dyDescent="0.25">
      <c r="A631" s="12" t="s">
        <v>31</v>
      </c>
      <c r="B631" s="12"/>
      <c r="C631" s="12"/>
      <c r="D631" s="12"/>
      <c r="E631" s="47">
        <f>SUM(E629:E630)</f>
        <v>4900000</v>
      </c>
    </row>
    <row r="632" spans="1:5" s="37" customFormat="1" ht="22.5" customHeight="1" x14ac:dyDescent="0.25">
      <c r="A632" s="9" t="s">
        <v>244</v>
      </c>
      <c r="B632" s="9" t="s">
        <v>543</v>
      </c>
      <c r="C632" s="9" t="s">
        <v>245</v>
      </c>
      <c r="D632" s="9" t="s">
        <v>0</v>
      </c>
      <c r="E632" s="43">
        <v>1000000</v>
      </c>
    </row>
    <row r="633" spans="1:5" s="37" customFormat="1" ht="22.5" customHeight="1" x14ac:dyDescent="0.25">
      <c r="A633" s="9"/>
      <c r="B633" s="9"/>
      <c r="C633" s="9"/>
      <c r="D633" s="9" t="s">
        <v>40</v>
      </c>
      <c r="E633" s="43">
        <v>100000</v>
      </c>
    </row>
    <row r="634" spans="1:5" s="37" customFormat="1" ht="22.5" customHeight="1" x14ac:dyDescent="0.25">
      <c r="A634" s="12" t="s">
        <v>31</v>
      </c>
      <c r="B634" s="12"/>
      <c r="C634" s="12"/>
      <c r="D634" s="12"/>
      <c r="E634" s="47">
        <f>SUM(E632:E633)</f>
        <v>1100000</v>
      </c>
    </row>
    <row r="635" spans="1:5" s="37" customFormat="1" ht="24.75" customHeight="1" x14ac:dyDescent="0.25">
      <c r="A635" s="9" t="s">
        <v>246</v>
      </c>
      <c r="B635" s="9" t="s">
        <v>544</v>
      </c>
      <c r="C635" s="9" t="s">
        <v>247</v>
      </c>
      <c r="D635" s="9" t="s">
        <v>1</v>
      </c>
      <c r="E635" s="43">
        <v>1500000</v>
      </c>
    </row>
    <row r="636" spans="1:5" s="37" customFormat="1" ht="22.5" customHeight="1" x14ac:dyDescent="0.25">
      <c r="A636" s="9"/>
      <c r="B636" s="9"/>
      <c r="C636" s="9"/>
      <c r="D636" s="9" t="s">
        <v>40</v>
      </c>
      <c r="E636" s="43">
        <v>10000</v>
      </c>
    </row>
    <row r="637" spans="1:5" s="37" customFormat="1" ht="24" customHeight="1" x14ac:dyDescent="0.25">
      <c r="A637" s="12" t="s">
        <v>31</v>
      </c>
      <c r="B637" s="12"/>
      <c r="C637" s="12"/>
      <c r="D637" s="12"/>
      <c r="E637" s="47">
        <f>SUM(E635:E636)</f>
        <v>1510000</v>
      </c>
    </row>
    <row r="638" spans="1:5" s="38" customFormat="1" ht="22.5" customHeight="1" x14ac:dyDescent="0.25">
      <c r="A638" s="18" t="s">
        <v>47</v>
      </c>
      <c r="B638" s="18"/>
      <c r="C638" s="18"/>
      <c r="D638" s="18"/>
      <c r="E638" s="42">
        <f t="shared" ref="E638" si="19">E637+E634+E631+E628</f>
        <v>10510000</v>
      </c>
    </row>
    <row r="639" spans="1:5" s="38" customFormat="1" ht="22.5" customHeight="1" x14ac:dyDescent="0.25">
      <c r="A639" s="39"/>
      <c r="B639" s="39"/>
      <c r="C639" s="39"/>
      <c r="D639" s="39"/>
      <c r="E639" s="42">
        <f>E638+E626+E604+E576+E573+E566+E556+E547+E530+E495+E488+E478+E471+E467+E449+E445+E438+E412+E389+E386+E374+E359+E351+E338+E331+E318+E315+E298+E266+E244+E229+E215+E199+E181+E173+E143+E140+E126+E108+E95+E81+E30</f>
        <v>439962710.5</v>
      </c>
    </row>
  </sheetData>
  <mergeCells count="15">
    <mergeCell ref="A1:E1"/>
    <mergeCell ref="A576:D576"/>
    <mergeCell ref="E560:E561"/>
    <mergeCell ref="E563:E564"/>
    <mergeCell ref="E409:E410"/>
    <mergeCell ref="E450:E453"/>
    <mergeCell ref="E455:E456"/>
    <mergeCell ref="E464:E465"/>
    <mergeCell ref="E344:E345"/>
    <mergeCell ref="E348:E349"/>
    <mergeCell ref="E402:E403"/>
    <mergeCell ref="E593:E594"/>
    <mergeCell ref="E596:E598"/>
    <mergeCell ref="E600:E602"/>
    <mergeCell ref="A639:D639"/>
  </mergeCells>
  <pageMargins left="0.7" right="0.2" top="0.25" bottom="0.25" header="0" footer="0"/>
  <pageSetup paperSize="9" scale="94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progress 20-21</vt:lpstr>
      <vt:lpstr>'progress 20-21'!Print_Area</vt:lpstr>
      <vt:lpstr>'progress 20-21'!Print_Titles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2021-01-18T08:33:43Z</dcterms:modified>
</cp:coreProperties>
</file>