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470" yWindow="840" windowWidth="8760" windowHeight="4425" tabRatio="915" activeTab="1"/>
  </bookViews>
  <sheets>
    <sheet name="Plan Project 13-14" sheetId="23" r:id="rId1"/>
    <sheet name="Plan Revenue 13-14" sheetId="21" r:id="rId2"/>
    <sheet name="SUMMARY 13-14" sheetId="19" r:id="rId3"/>
    <sheet name="SUMMARY 12-13" sheetId="4" r:id="rId4"/>
    <sheet name="Achievement 12-13" sheetId="17" r:id="rId5"/>
    <sheet name="First Page" sheetId="10" r:id="rId6"/>
    <sheet name="Last page" sheetId="11" r:id="rId7"/>
    <sheet name="Graph 12-13" sheetId="20" r:id="rId8"/>
    <sheet name="Sheet1" sheetId="22" r:id="rId9"/>
  </sheets>
  <definedNames>
    <definedName name="_xlnm.Print_Area" localSheetId="4">'Achievement 12-13'!$A$1:$O$394</definedName>
    <definedName name="_xlnm.Print_Area" localSheetId="0">'Plan Project 13-14'!$A$1:$L$408,'Plan Project 13-14'!$N$11</definedName>
    <definedName name="_xlnm.Print_Titles" localSheetId="4">'Achievement 12-13'!$1:$7</definedName>
    <definedName name="_xlnm.Print_Titles" localSheetId="0">'Plan Project 13-14'!$1:$5</definedName>
    <definedName name="_xlnm.Print_Titles" localSheetId="1">'Plan Revenue 13-14'!$1:$6</definedName>
    <definedName name="Training_on_Household_Information_Card__HIC__Filling_Data_Collection___Presentation_of_2nd_PRPB" localSheetId="7">#REF!</definedName>
    <definedName name="Training_on_Household_Information_Card__HIC__Filling_Data_Collection___Presentation_of_2nd_PRPB" localSheetId="0">#REF!</definedName>
    <definedName name="Training_on_Household_Information_Card__HIC__Filling_Data_Collection___Presentation_of_2nd_PRPB" localSheetId="2">#REF!</definedName>
    <definedName name="Training_on_Household_Information_Card__HIC__Filling_Data_Collection___Presentation_of_2nd_PRPB">#REF!</definedName>
    <definedName name="Training_on_Social_Awareness_LCS_Work_Implementation_and_Technical_Aspects_Earth_Work" localSheetId="7">#REF!</definedName>
    <definedName name="Training_on_Social_Awareness_LCS_Work_Implementation_and_Technical_Aspects_Earth_Work" localSheetId="0">#REF!</definedName>
    <definedName name="Training_on_Social_Awareness_LCS_Work_Implementation_and_Technical_Aspects_Earth_Work" localSheetId="2">#REF!</definedName>
    <definedName name="Training_on_Social_Awareness_LCS_Work_Implementation_and_Technical_Aspects_Earth_Work">#REF!</definedName>
  </definedNames>
  <calcPr calcId="124519"/>
</workbook>
</file>

<file path=xl/calcChain.xml><?xml version="1.0" encoding="utf-8"?>
<calcChain xmlns="http://schemas.openxmlformats.org/spreadsheetml/2006/main">
  <c r="N32" i="4"/>
  <c r="M32"/>
  <c r="L32"/>
  <c r="K32"/>
  <c r="J32"/>
  <c r="I32"/>
  <c r="H32"/>
  <c r="G32"/>
  <c r="F32"/>
  <c r="E32"/>
  <c r="D32"/>
  <c r="C32"/>
  <c r="O393" i="17"/>
  <c r="N393"/>
  <c r="L393"/>
  <c r="K393"/>
  <c r="J393"/>
  <c r="H393"/>
  <c r="E393"/>
  <c r="D393"/>
  <c r="M393"/>
  <c r="G393"/>
  <c r="M208"/>
  <c r="A14" i="21"/>
  <c r="A16" i="19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I364" i="23" l="1"/>
  <c r="I358"/>
  <c r="G74" i="21"/>
  <c r="D11" i="19" s="1"/>
  <c r="J43" i="21"/>
  <c r="D33" i="19"/>
  <c r="E33"/>
  <c r="G33"/>
  <c r="C33"/>
  <c r="E32"/>
  <c r="F32"/>
  <c r="G32"/>
  <c r="D32"/>
  <c r="C32"/>
  <c r="C31"/>
  <c r="J407" i="23"/>
  <c r="H407"/>
  <c r="G407"/>
  <c r="G406"/>
  <c r="H406"/>
  <c r="I406"/>
  <c r="J406"/>
  <c r="H405"/>
  <c r="I405" s="1"/>
  <c r="J405" s="1"/>
  <c r="O64" i="21"/>
  <c r="O65"/>
  <c r="O66"/>
  <c r="O67"/>
  <c r="H67"/>
  <c r="I67" s="1"/>
  <c r="J67" s="1"/>
  <c r="H66"/>
  <c r="I66" s="1"/>
  <c r="J66" s="1"/>
  <c r="H65"/>
  <c r="I65" s="1"/>
  <c r="J65" s="1"/>
  <c r="H64"/>
  <c r="I64" s="1"/>
  <c r="J64" s="1"/>
  <c r="M16" i="4"/>
  <c r="J16"/>
  <c r="I16"/>
  <c r="N16"/>
  <c r="O66" i="17"/>
  <c r="L388"/>
  <c r="L389"/>
  <c r="L390"/>
  <c r="L382"/>
  <c r="M382" s="1"/>
  <c r="L383"/>
  <c r="L386"/>
  <c r="L387"/>
  <c r="L384"/>
  <c r="L385"/>
  <c r="L374"/>
  <c r="L375"/>
  <c r="L376"/>
  <c r="L377"/>
  <c r="L378"/>
  <c r="L379"/>
  <c r="L380"/>
  <c r="L381"/>
  <c r="L373"/>
  <c r="K321"/>
  <c r="L321"/>
  <c r="M321"/>
  <c r="N321"/>
  <c r="O321"/>
  <c r="M72" i="21"/>
  <c r="O72" s="1"/>
  <c r="H72"/>
  <c r="I72" s="1"/>
  <c r="J72" s="1"/>
  <c r="L346" i="17"/>
  <c r="M346" s="1"/>
  <c r="L352"/>
  <c r="M352" s="1"/>
  <c r="L345"/>
  <c r="M345" s="1"/>
  <c r="M266"/>
  <c r="L223"/>
  <c r="M223" s="1"/>
  <c r="L228"/>
  <c r="M228" s="1"/>
  <c r="L229"/>
  <c r="M229" s="1"/>
  <c r="L140"/>
  <c r="L141"/>
  <c r="L46"/>
  <c r="L47"/>
  <c r="M46"/>
  <c r="M47"/>
  <c r="A35" l="1"/>
  <c r="A36" s="1"/>
  <c r="A37" s="1"/>
  <c r="I46" i="21" l="1"/>
  <c r="G86" i="23"/>
  <c r="C16" i="19"/>
  <c r="M56" i="21"/>
  <c r="H56"/>
  <c r="I56" s="1"/>
  <c r="J56" s="1"/>
  <c r="H20" i="17" l="1"/>
  <c r="L18"/>
  <c r="M18" s="1"/>
  <c r="L35"/>
  <c r="M35" s="1"/>
  <c r="J38"/>
  <c r="L43"/>
  <c r="F38"/>
  <c r="H38"/>
  <c r="I38"/>
  <c r="K38"/>
  <c r="L33"/>
  <c r="M33" s="1"/>
  <c r="E33"/>
  <c r="L32"/>
  <c r="M32" s="1"/>
  <c r="L34"/>
  <c r="M34" s="1"/>
  <c r="L36"/>
  <c r="L37"/>
  <c r="M37" s="1"/>
  <c r="L30"/>
  <c r="M30" s="1"/>
  <c r="L31"/>
  <c r="M31" s="1"/>
  <c r="N31"/>
  <c r="N38" s="1"/>
  <c r="O31"/>
  <c r="O38" s="1"/>
  <c r="H62" i="21"/>
  <c r="I62" s="1"/>
  <c r="J62" s="1"/>
  <c r="E25" i="17"/>
  <c r="D27"/>
  <c r="H27"/>
  <c r="H10" i="4" s="1"/>
  <c r="J27" i="17"/>
  <c r="I10" i="4" s="1"/>
  <c r="K27" i="17"/>
  <c r="J10" i="4" s="1"/>
  <c r="O27" i="17"/>
  <c r="N10" i="4" s="1"/>
  <c r="N27" i="17"/>
  <c r="G22"/>
  <c r="G23"/>
  <c r="G24"/>
  <c r="E26"/>
  <c r="G26" s="1"/>
  <c r="L23"/>
  <c r="M23" s="1"/>
  <c r="L24"/>
  <c r="L25"/>
  <c r="M25" s="1"/>
  <c r="L26"/>
  <c r="M26" s="1"/>
  <c r="L22"/>
  <c r="M22" s="1"/>
  <c r="J14"/>
  <c r="L14" s="1"/>
  <c r="O12"/>
  <c r="O11"/>
  <c r="J11"/>
  <c r="L11" s="1"/>
  <c r="L12"/>
  <c r="L13"/>
  <c r="L15"/>
  <c r="L16"/>
  <c r="L17"/>
  <c r="L19"/>
  <c r="L10"/>
  <c r="J86" i="23"/>
  <c r="J81"/>
  <c r="G81"/>
  <c r="J73"/>
  <c r="G73"/>
  <c r="J67"/>
  <c r="G67"/>
  <c r="J60"/>
  <c r="G60"/>
  <c r="J55"/>
  <c r="G55"/>
  <c r="J48"/>
  <c r="G48"/>
  <c r="A386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334"/>
  <c r="A335" s="1"/>
  <c r="A336" s="1"/>
  <c r="A337" s="1"/>
  <c r="A340" s="1"/>
  <c r="A341" s="1"/>
  <c r="A342" s="1"/>
  <c r="A343" s="1"/>
  <c r="A344" s="1"/>
  <c r="A347" s="1"/>
  <c r="A348" s="1"/>
  <c r="A349" s="1"/>
  <c r="A350" s="1"/>
  <c r="A351" s="1"/>
  <c r="A352" s="1"/>
  <c r="A353" s="1"/>
  <c r="A354" s="1"/>
  <c r="A357" s="1"/>
  <c r="A360" s="1"/>
  <c r="A361" s="1"/>
  <c r="A362" s="1"/>
  <c r="C28" i="19" s="1"/>
  <c r="H185" i="23"/>
  <c r="I185" s="1"/>
  <c r="A186"/>
  <c r="A187" s="1"/>
  <c r="A188" s="1"/>
  <c r="A189" s="1"/>
  <c r="A190" s="1"/>
  <c r="A191" s="1"/>
  <c r="A192" s="1"/>
  <c r="A193" s="1"/>
  <c r="A194" s="1"/>
  <c r="A195" s="1"/>
  <c r="A196" s="1"/>
  <c r="A197" s="1"/>
  <c r="A198" s="1"/>
  <c r="A201" s="1"/>
  <c r="A202" s="1"/>
  <c r="A203" s="1"/>
  <c r="A204" s="1"/>
  <c r="A205" s="1"/>
  <c r="A206" s="1"/>
  <c r="A207" s="1"/>
  <c r="A208" s="1"/>
  <c r="A209" s="1"/>
  <c r="A210" s="1"/>
  <c r="A213" s="1"/>
  <c r="A214" s="1"/>
  <c r="A215" s="1"/>
  <c r="A216" s="1"/>
  <c r="A219" s="1"/>
  <c r="A220" s="1"/>
  <c r="A221" s="1"/>
  <c r="A222" s="1"/>
  <c r="A223" s="1"/>
  <c r="A224" s="1"/>
  <c r="A225" s="1"/>
  <c r="A226" s="1"/>
  <c r="A227" s="1"/>
  <c r="H186"/>
  <c r="I186" s="1"/>
  <c r="H187"/>
  <c r="I187" s="1"/>
  <c r="H188"/>
  <c r="I188" s="1"/>
  <c r="H189"/>
  <c r="I189" s="1"/>
  <c r="H190"/>
  <c r="I190" s="1"/>
  <c r="H191"/>
  <c r="I191" s="1"/>
  <c r="H192"/>
  <c r="I192" s="1"/>
  <c r="H193"/>
  <c r="I193" s="1"/>
  <c r="H194"/>
  <c r="I194" s="1"/>
  <c r="H195"/>
  <c r="I195" s="1"/>
  <c r="H196"/>
  <c r="I196" s="1"/>
  <c r="H197"/>
  <c r="I197" s="1"/>
  <c r="H201"/>
  <c r="I201" s="1"/>
  <c r="H202"/>
  <c r="I202" s="1"/>
  <c r="H203"/>
  <c r="I203" s="1"/>
  <c r="H204"/>
  <c r="I204" s="1"/>
  <c r="H205"/>
  <c r="I205" s="1"/>
  <c r="H206"/>
  <c r="I206" s="1"/>
  <c r="H207"/>
  <c r="I207" s="1"/>
  <c r="H208"/>
  <c r="I208" s="1"/>
  <c r="H209"/>
  <c r="I209" s="1"/>
  <c r="H210"/>
  <c r="I210" s="1"/>
  <c r="H213"/>
  <c r="I213" s="1"/>
  <c r="H214"/>
  <c r="I214" s="1"/>
  <c r="H215"/>
  <c r="I215" s="1"/>
  <c r="H216"/>
  <c r="I216" s="1"/>
  <c r="H221"/>
  <c r="I221" s="1"/>
  <c r="H222"/>
  <c r="I222" s="1"/>
  <c r="H223"/>
  <c r="I223" s="1"/>
  <c r="H224"/>
  <c r="I224" s="1"/>
  <c r="H225"/>
  <c r="I225" s="1"/>
  <c r="H226"/>
  <c r="I226" s="1"/>
  <c r="H227"/>
  <c r="I227" s="1"/>
  <c r="H235"/>
  <c r="I235" s="1"/>
  <c r="J235"/>
  <c r="H236"/>
  <c r="I236" s="1"/>
  <c r="H237"/>
  <c r="H238"/>
  <c r="I238" s="1"/>
  <c r="J238"/>
  <c r="H241"/>
  <c r="I241" s="1"/>
  <c r="H243"/>
  <c r="I243" s="1"/>
  <c r="H246"/>
  <c r="I246" s="1"/>
  <c r="H247"/>
  <c r="I247" s="1"/>
  <c r="H248"/>
  <c r="I248" s="1"/>
  <c r="H249"/>
  <c r="I249" s="1"/>
  <c r="H250"/>
  <c r="I250" s="1"/>
  <c r="H251"/>
  <c r="I251" s="1"/>
  <c r="H252"/>
  <c r="I252" s="1"/>
  <c r="A146" i="17"/>
  <c r="A147" s="1"/>
  <c r="A148" s="1"/>
  <c r="A149" s="1"/>
  <c r="A150" s="1"/>
  <c r="A151" s="1"/>
  <c r="A152" s="1"/>
  <c r="A153" s="1"/>
  <c r="A156" s="1"/>
  <c r="A157" s="1"/>
  <c r="A158" s="1"/>
  <c r="A159" s="1"/>
  <c r="A160" s="1"/>
  <c r="A161" s="1"/>
  <c r="A162" s="1"/>
  <c r="A163" s="1"/>
  <c r="A164" s="1"/>
  <c r="A165" s="1"/>
  <c r="A166" s="1"/>
  <c r="A169" s="1"/>
  <c r="A170" s="1"/>
  <c r="A171" s="1"/>
  <c r="A172" s="1"/>
  <c r="A173" s="1"/>
  <c r="A176" s="1"/>
  <c r="A177" s="1"/>
  <c r="A178" s="1"/>
  <c r="A182" s="1"/>
  <c r="E207"/>
  <c r="F207"/>
  <c r="F208" s="1"/>
  <c r="H207"/>
  <c r="I207"/>
  <c r="J207"/>
  <c r="K207"/>
  <c r="N207"/>
  <c r="O207"/>
  <c r="G206"/>
  <c r="O199"/>
  <c r="E199"/>
  <c r="H199"/>
  <c r="J199"/>
  <c r="K199"/>
  <c r="N199"/>
  <c r="D199"/>
  <c r="E185"/>
  <c r="H185"/>
  <c r="J185"/>
  <c r="K185"/>
  <c r="L185"/>
  <c r="N185"/>
  <c r="O185"/>
  <c r="D185"/>
  <c r="E174"/>
  <c r="H174"/>
  <c r="J174"/>
  <c r="K174"/>
  <c r="N174"/>
  <c r="O174"/>
  <c r="D174"/>
  <c r="J167"/>
  <c r="K167"/>
  <c r="L167"/>
  <c r="N167"/>
  <c r="O167"/>
  <c r="H167"/>
  <c r="E167"/>
  <c r="D167"/>
  <c r="E154"/>
  <c r="D154"/>
  <c r="D144"/>
  <c r="E144"/>
  <c r="H144"/>
  <c r="J144"/>
  <c r="K144"/>
  <c r="N144"/>
  <c r="O144"/>
  <c r="O154"/>
  <c r="D205"/>
  <c r="D207" s="1"/>
  <c r="L205"/>
  <c r="M205" s="1"/>
  <c r="L204"/>
  <c r="M204" s="1"/>
  <c r="G204"/>
  <c r="L203"/>
  <c r="M203" s="1"/>
  <c r="G203"/>
  <c r="L202"/>
  <c r="M202" s="1"/>
  <c r="G202"/>
  <c r="L201"/>
  <c r="M201" s="1"/>
  <c r="G201"/>
  <c r="L198"/>
  <c r="M198" s="1"/>
  <c r="G198"/>
  <c r="L197"/>
  <c r="G197"/>
  <c r="L196"/>
  <c r="M196" s="1"/>
  <c r="G196"/>
  <c r="M195"/>
  <c r="G195"/>
  <c r="L194"/>
  <c r="M194" s="1"/>
  <c r="G194"/>
  <c r="L193"/>
  <c r="M193" s="1"/>
  <c r="G193"/>
  <c r="L192"/>
  <c r="M192" s="1"/>
  <c r="G192"/>
  <c r="L191"/>
  <c r="G191"/>
  <c r="L190"/>
  <c r="M190" s="1"/>
  <c r="G190"/>
  <c r="G189"/>
  <c r="L188"/>
  <c r="M188" s="1"/>
  <c r="G188"/>
  <c r="G187"/>
  <c r="G184"/>
  <c r="G183"/>
  <c r="G182"/>
  <c r="G181"/>
  <c r="G180"/>
  <c r="G179"/>
  <c r="M178"/>
  <c r="M185" s="1"/>
  <c r="G178"/>
  <c r="G177"/>
  <c r="G176"/>
  <c r="L173"/>
  <c r="M173" s="1"/>
  <c r="G173"/>
  <c r="L172"/>
  <c r="M172" s="1"/>
  <c r="G172"/>
  <c r="L171"/>
  <c r="M171" s="1"/>
  <c r="G171"/>
  <c r="G170"/>
  <c r="G169"/>
  <c r="G166"/>
  <c r="M165"/>
  <c r="M164"/>
  <c r="G164"/>
  <c r="M162"/>
  <c r="G162"/>
  <c r="G161"/>
  <c r="G160"/>
  <c r="M159"/>
  <c r="M158"/>
  <c r="G157"/>
  <c r="G156"/>
  <c r="M150"/>
  <c r="M151"/>
  <c r="M152"/>
  <c r="L153"/>
  <c r="M153" s="1"/>
  <c r="G153"/>
  <c r="G152"/>
  <c r="G151"/>
  <c r="G150"/>
  <c r="L149"/>
  <c r="M149" s="1"/>
  <c r="G149"/>
  <c r="G148"/>
  <c r="G147"/>
  <c r="G146"/>
  <c r="G143"/>
  <c r="L142"/>
  <c r="G142"/>
  <c r="G141"/>
  <c r="G140"/>
  <c r="L139"/>
  <c r="M139" s="1"/>
  <c r="G139"/>
  <c r="G138"/>
  <c r="L137"/>
  <c r="M137" s="1"/>
  <c r="G137"/>
  <c r="G136"/>
  <c r="L135"/>
  <c r="M135" s="1"/>
  <c r="G135"/>
  <c r="L134"/>
  <c r="M134" s="1"/>
  <c r="G134"/>
  <c r="A118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G130"/>
  <c r="L129"/>
  <c r="M129" s="1"/>
  <c r="G129"/>
  <c r="G128"/>
  <c r="L127"/>
  <c r="M127" s="1"/>
  <c r="G127"/>
  <c r="G126"/>
  <c r="G125"/>
  <c r="L124"/>
  <c r="M124" s="1"/>
  <c r="G124"/>
  <c r="G123"/>
  <c r="L122"/>
  <c r="M122" s="1"/>
  <c r="G122"/>
  <c r="L121"/>
  <c r="M121" s="1"/>
  <c r="G121"/>
  <c r="L120"/>
  <c r="M120" s="1"/>
  <c r="L119"/>
  <c r="M119" s="1"/>
  <c r="O63" i="21"/>
  <c r="I63"/>
  <c r="J63" s="1"/>
  <c r="H63"/>
  <c r="O62"/>
  <c r="H61"/>
  <c r="I61" s="1"/>
  <c r="J61" s="1"/>
  <c r="H60"/>
  <c r="I60" s="1"/>
  <c r="J60" s="1"/>
  <c r="J46"/>
  <c r="J35" i="23"/>
  <c r="A73" i="17"/>
  <c r="A74" s="1"/>
  <c r="A75" s="1"/>
  <c r="A76" s="1"/>
  <c r="A23"/>
  <c r="A24" s="1"/>
  <c r="A25" s="1"/>
  <c r="A26" s="1"/>
  <c r="G10" i="4" s="1"/>
  <c r="A11" i="17"/>
  <c r="A12" s="1"/>
  <c r="A13" s="1"/>
  <c r="A14" s="1"/>
  <c r="A15" s="1"/>
  <c r="A16" s="1"/>
  <c r="A17" s="1"/>
  <c r="A18" s="1"/>
  <c r="A19" s="1"/>
  <c r="G9" i="4" s="1"/>
  <c r="E20" i="17"/>
  <c r="D20"/>
  <c r="A16" i="4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O59" i="21"/>
  <c r="O70"/>
  <c r="O71"/>
  <c r="O73"/>
  <c r="O50"/>
  <c r="O51"/>
  <c r="O52"/>
  <c r="O53"/>
  <c r="O54"/>
  <c r="O57"/>
  <c r="O49"/>
  <c r="O43"/>
  <c r="O42"/>
  <c r="O32"/>
  <c r="O33"/>
  <c r="O34"/>
  <c r="O31"/>
  <c r="O25"/>
  <c r="O26"/>
  <c r="O23"/>
  <c r="H23"/>
  <c r="I23" s="1"/>
  <c r="J23" s="1"/>
  <c r="O11"/>
  <c r="O12"/>
  <c r="O14"/>
  <c r="O15"/>
  <c r="O55"/>
  <c r="O18"/>
  <c r="O19"/>
  <c r="O20"/>
  <c r="O22"/>
  <c r="O10"/>
  <c r="O391" i="17"/>
  <c r="N391"/>
  <c r="M377"/>
  <c r="M378"/>
  <c r="M379"/>
  <c r="M380"/>
  <c r="M381"/>
  <c r="M375"/>
  <c r="M376"/>
  <c r="M374"/>
  <c r="C15" i="19"/>
  <c r="C29"/>
  <c r="C24"/>
  <c r="C22"/>
  <c r="C21"/>
  <c r="C19"/>
  <c r="C18"/>
  <c r="D24" i="4"/>
  <c r="H29" i="23"/>
  <c r="I29" s="1"/>
  <c r="H28"/>
  <c r="I28" s="1"/>
  <c r="H27"/>
  <c r="I27" s="1"/>
  <c r="H26"/>
  <c r="I26" s="1"/>
  <c r="H25"/>
  <c r="I25" s="1"/>
  <c r="H20"/>
  <c r="I20" s="1"/>
  <c r="H19"/>
  <c r="I19" s="1"/>
  <c r="H18"/>
  <c r="I18" s="1"/>
  <c r="H15"/>
  <c r="I15" s="1"/>
  <c r="H14"/>
  <c r="I14" s="1"/>
  <c r="H13"/>
  <c r="I13" s="1"/>
  <c r="H12"/>
  <c r="I12" s="1"/>
  <c r="H11"/>
  <c r="I11" s="1"/>
  <c r="H10"/>
  <c r="I10" s="1"/>
  <c r="H17"/>
  <c r="I17" s="1"/>
  <c r="H16"/>
  <c r="I16" s="1"/>
  <c r="H9"/>
  <c r="I9" s="1"/>
  <c r="H8"/>
  <c r="I8" s="1"/>
  <c r="J96"/>
  <c r="G17" i="19" s="1"/>
  <c r="G96" i="23"/>
  <c r="D17" i="19" s="1"/>
  <c r="H95" i="23"/>
  <c r="I95" s="1"/>
  <c r="G87" l="1"/>
  <c r="J87"/>
  <c r="M38" i="17"/>
  <c r="L38"/>
  <c r="M174"/>
  <c r="G199"/>
  <c r="L27"/>
  <c r="K10" i="4" s="1"/>
  <c r="M24" i="17"/>
  <c r="M27" s="1"/>
  <c r="L10" i="4" s="1"/>
  <c r="M144" i="17"/>
  <c r="M167"/>
  <c r="M207"/>
  <c r="G154"/>
  <c r="G167"/>
  <c r="G174"/>
  <c r="G185"/>
  <c r="M199"/>
  <c r="G207"/>
  <c r="E27"/>
  <c r="G25"/>
  <c r="G27" s="1"/>
  <c r="L174"/>
  <c r="L144"/>
  <c r="L199"/>
  <c r="L207"/>
  <c r="A183"/>
  <c r="A184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201" s="1"/>
  <c r="A202" s="1"/>
  <c r="A203" s="1"/>
  <c r="A204" s="1"/>
  <c r="A205" s="1"/>
  <c r="A206" s="1"/>
  <c r="C20" i="4" s="1"/>
  <c r="M47" i="21"/>
  <c r="O47" s="1"/>
  <c r="M46"/>
  <c r="O46" s="1"/>
  <c r="M44"/>
  <c r="O44" s="1"/>
  <c r="M45"/>
  <c r="O45" s="1"/>
  <c r="A9" i="23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J232" i="17" l="1"/>
  <c r="M36" i="21"/>
  <c r="O36" s="1"/>
  <c r="M35"/>
  <c r="O35" s="1"/>
  <c r="M17"/>
  <c r="O17" s="1"/>
  <c r="M16"/>
  <c r="O16" s="1"/>
  <c r="H57"/>
  <c r="I57" s="1"/>
  <c r="J57" s="1"/>
  <c r="H71"/>
  <c r="I71" s="1"/>
  <c r="J71" s="1"/>
  <c r="H18"/>
  <c r="I18" s="1"/>
  <c r="J18" s="1"/>
  <c r="H73"/>
  <c r="I73" s="1"/>
  <c r="J73" s="1"/>
  <c r="H20"/>
  <c r="I20" s="1"/>
  <c r="J20" s="1"/>
  <c r="G403" i="23"/>
  <c r="D31" i="19" s="1"/>
  <c r="H402" i="23"/>
  <c r="H401"/>
  <c r="H400"/>
  <c r="H399"/>
  <c r="H398"/>
  <c r="H397"/>
  <c r="H395"/>
  <c r="I395" s="1"/>
  <c r="H394"/>
  <c r="H393"/>
  <c r="H392"/>
  <c r="H391"/>
  <c r="H390"/>
  <c r="I390" s="1"/>
  <c r="H389"/>
  <c r="H388"/>
  <c r="H387"/>
  <c r="J385"/>
  <c r="J403" s="1"/>
  <c r="G31" i="19" s="1"/>
  <c r="H385" i="23"/>
  <c r="J383"/>
  <c r="G30" i="19" s="1"/>
  <c r="I383" i="23"/>
  <c r="F30" i="19" s="1"/>
  <c r="H383" i="23"/>
  <c r="E30" i="19" s="1"/>
  <c r="G383" i="23"/>
  <c r="D30" i="19" s="1"/>
  <c r="A375" i="23"/>
  <c r="A376" s="1"/>
  <c r="A377" s="1"/>
  <c r="A378" s="1"/>
  <c r="A379" s="1"/>
  <c r="A380" s="1"/>
  <c r="A381" s="1"/>
  <c r="A382" s="1"/>
  <c r="C30" i="19" s="1"/>
  <c r="J372" i="23"/>
  <c r="G29" i="19" s="1"/>
  <c r="G372" i="23"/>
  <c r="D29" i="19" s="1"/>
  <c r="H371" i="23"/>
  <c r="I371" s="1"/>
  <c r="H370"/>
  <c r="I370" s="1"/>
  <c r="H369"/>
  <c r="I369" s="1"/>
  <c r="H368"/>
  <c r="I368" s="1"/>
  <c r="H367"/>
  <c r="I367" s="1"/>
  <c r="H366"/>
  <c r="J363"/>
  <c r="G363"/>
  <c r="F363"/>
  <c r="E363"/>
  <c r="H362"/>
  <c r="I362" s="1"/>
  <c r="H361"/>
  <c r="I361" s="1"/>
  <c r="H360"/>
  <c r="J358"/>
  <c r="G358"/>
  <c r="H357"/>
  <c r="I357" s="1"/>
  <c r="J355"/>
  <c r="G355"/>
  <c r="H354"/>
  <c r="I354" s="1"/>
  <c r="H353"/>
  <c r="I353" s="1"/>
  <c r="H352"/>
  <c r="I352" s="1"/>
  <c r="H351"/>
  <c r="I351" s="1"/>
  <c r="H350"/>
  <c r="I350" s="1"/>
  <c r="H349"/>
  <c r="I349" s="1"/>
  <c r="H348"/>
  <c r="I348" s="1"/>
  <c r="H347"/>
  <c r="J345"/>
  <c r="G345"/>
  <c r="H344"/>
  <c r="I344" s="1"/>
  <c r="H343"/>
  <c r="I343" s="1"/>
  <c r="H342"/>
  <c r="I342" s="1"/>
  <c r="H341"/>
  <c r="H340"/>
  <c r="I340" s="1"/>
  <c r="J338"/>
  <c r="G338"/>
  <c r="H337"/>
  <c r="I337" s="1"/>
  <c r="H336"/>
  <c r="I336" s="1"/>
  <c r="H335"/>
  <c r="I335" s="1"/>
  <c r="H334"/>
  <c r="J332"/>
  <c r="G332"/>
  <c r="H331"/>
  <c r="I331" s="1"/>
  <c r="H330"/>
  <c r="I330" s="1"/>
  <c r="H329"/>
  <c r="I329" s="1"/>
  <c r="H328"/>
  <c r="I328" s="1"/>
  <c r="H327"/>
  <c r="I327" s="1"/>
  <c r="H326"/>
  <c r="I325"/>
  <c r="J324"/>
  <c r="G324"/>
  <c r="F324"/>
  <c r="E324"/>
  <c r="H323"/>
  <c r="I323" s="1"/>
  <c r="H322"/>
  <c r="I322" s="1"/>
  <c r="H321"/>
  <c r="I321" s="1"/>
  <c r="H320"/>
  <c r="I320" s="1"/>
  <c r="H319"/>
  <c r="I319" s="1"/>
  <c r="H318"/>
  <c r="I318" s="1"/>
  <c r="H317"/>
  <c r="I317" s="1"/>
  <c r="J315"/>
  <c r="G315"/>
  <c r="H314"/>
  <c r="I314" s="1"/>
  <c r="H313"/>
  <c r="I313" s="1"/>
  <c r="H312"/>
  <c r="I312" s="1"/>
  <c r="I311"/>
  <c r="J308"/>
  <c r="G27" i="19" s="1"/>
  <c r="I308" i="23"/>
  <c r="F27" i="19" s="1"/>
  <c r="H308" i="23"/>
  <c r="E27" i="19" s="1"/>
  <c r="G308" i="23"/>
  <c r="D27" i="19" s="1"/>
  <c r="A300" i="23"/>
  <c r="A301" s="1"/>
  <c r="A302" s="1"/>
  <c r="A303" s="1"/>
  <c r="A304" s="1"/>
  <c r="A305" s="1"/>
  <c r="A306" s="1"/>
  <c r="A307" s="1"/>
  <c r="C27" i="19" s="1"/>
  <c r="J297" i="23"/>
  <c r="G26" i="19" s="1"/>
  <c r="I297" i="23"/>
  <c r="F26" i="19" s="1"/>
  <c r="H297" i="23"/>
  <c r="E26" i="19" s="1"/>
  <c r="G297" i="23"/>
  <c r="D26" i="19" s="1"/>
  <c r="A289" i="23"/>
  <c r="A290" s="1"/>
  <c r="A291" s="1"/>
  <c r="A292" s="1"/>
  <c r="A293" s="1"/>
  <c r="A294" s="1"/>
  <c r="A295" s="1"/>
  <c r="A296" s="1"/>
  <c r="C26" i="19" s="1"/>
  <c r="F288" i="23"/>
  <c r="J286"/>
  <c r="G25" i="19" s="1"/>
  <c r="G286" i="23"/>
  <c r="D25" i="19" s="1"/>
  <c r="H285" i="23"/>
  <c r="I285" s="1"/>
  <c r="H284"/>
  <c r="I284" s="1"/>
  <c r="H283"/>
  <c r="I283" s="1"/>
  <c r="H282"/>
  <c r="I282" s="1"/>
  <c r="H281"/>
  <c r="I281" s="1"/>
  <c r="H280"/>
  <c r="I280" s="1"/>
  <c r="H279"/>
  <c r="I279" s="1"/>
  <c r="A279"/>
  <c r="A280" s="1"/>
  <c r="A281" s="1"/>
  <c r="A282" s="1"/>
  <c r="A283" s="1"/>
  <c r="A284" s="1"/>
  <c r="A285" s="1"/>
  <c r="C25" i="19" s="1"/>
  <c r="H278" i="23"/>
  <c r="I278" s="1"/>
  <c r="J276"/>
  <c r="G24" i="19" s="1"/>
  <c r="G276" i="23"/>
  <c r="D24" i="19" s="1"/>
  <c r="F276" i="23"/>
  <c r="E276"/>
  <c r="H275"/>
  <c r="I275" s="1"/>
  <c r="H274"/>
  <c r="I274" s="1"/>
  <c r="H273"/>
  <c r="I273" s="1"/>
  <c r="H272"/>
  <c r="I272" s="1"/>
  <c r="H271"/>
  <c r="I271" s="1"/>
  <c r="H270"/>
  <c r="I270" s="1"/>
  <c r="H269"/>
  <c r="I269" s="1"/>
  <c r="H268"/>
  <c r="I268" s="1"/>
  <c r="H267"/>
  <c r="I267" s="1"/>
  <c r="H266"/>
  <c r="I266" s="1"/>
  <c r="H265"/>
  <c r="I265" s="1"/>
  <c r="H264"/>
  <c r="I264" s="1"/>
  <c r="H263"/>
  <c r="H262"/>
  <c r="I262" s="1"/>
  <c r="J259"/>
  <c r="I259"/>
  <c r="H259"/>
  <c r="G259"/>
  <c r="J253"/>
  <c r="G253"/>
  <c r="G239"/>
  <c r="J239"/>
  <c r="J233"/>
  <c r="G233"/>
  <c r="H232"/>
  <c r="I232" s="1"/>
  <c r="H231"/>
  <c r="I231" s="1"/>
  <c r="H230"/>
  <c r="I230" s="1"/>
  <c r="J228"/>
  <c r="G228"/>
  <c r="J217"/>
  <c r="G217"/>
  <c r="J211"/>
  <c r="G211"/>
  <c r="J199"/>
  <c r="G199"/>
  <c r="A230"/>
  <c r="A231" s="1"/>
  <c r="A232" s="1"/>
  <c r="J182"/>
  <c r="G22" i="19" s="1"/>
  <c r="G182" i="23"/>
  <c r="D22" i="19" s="1"/>
  <c r="H181" i="23"/>
  <c r="I181" s="1"/>
  <c r="H180"/>
  <c r="I180" s="1"/>
  <c r="H179"/>
  <c r="I179" s="1"/>
  <c r="H178"/>
  <c r="I178" s="1"/>
  <c r="H177"/>
  <c r="I177" s="1"/>
  <c r="H176"/>
  <c r="I176" s="1"/>
  <c r="H175"/>
  <c r="I175" s="1"/>
  <c r="H174"/>
  <c r="I174" s="1"/>
  <c r="H173"/>
  <c r="I173" s="1"/>
  <c r="H172"/>
  <c r="I172" s="1"/>
  <c r="H171"/>
  <c r="I171" s="1"/>
  <c r="H170"/>
  <c r="I170" s="1"/>
  <c r="H169"/>
  <c r="I169" s="1"/>
  <c r="H168"/>
  <c r="I168" s="1"/>
  <c r="H167"/>
  <c r="I167" s="1"/>
  <c r="H166"/>
  <c r="I166" s="1"/>
  <c r="J164"/>
  <c r="G21" i="19" s="1"/>
  <c r="G164" i="23"/>
  <c r="D21" i="19" s="1"/>
  <c r="H163" i="23"/>
  <c r="I163" s="1"/>
  <c r="H162"/>
  <c r="I162" s="1"/>
  <c r="H161"/>
  <c r="I161" s="1"/>
  <c r="H160"/>
  <c r="I160" s="1"/>
  <c r="H159"/>
  <c r="I159" s="1"/>
  <c r="H158"/>
  <c r="I158" s="1"/>
  <c r="H157"/>
  <c r="I157" s="1"/>
  <c r="H156"/>
  <c r="I156" s="1"/>
  <c r="H155"/>
  <c r="I155" s="1"/>
  <c r="H154"/>
  <c r="I154" s="1"/>
  <c r="H153"/>
  <c r="I153" s="1"/>
  <c r="H152"/>
  <c r="I152" s="1"/>
  <c r="H151"/>
  <c r="I151" s="1"/>
  <c r="H150"/>
  <c r="I150" s="1"/>
  <c r="H149"/>
  <c r="I149" s="1"/>
  <c r="H148"/>
  <c r="I148" s="1"/>
  <c r="H147"/>
  <c r="I147" s="1"/>
  <c r="H146"/>
  <c r="I146" s="1"/>
  <c r="H145"/>
  <c r="I145" s="1"/>
  <c r="H144"/>
  <c r="I144" s="1"/>
  <c r="G142"/>
  <c r="D20" i="19" s="1"/>
  <c r="F142" i="23"/>
  <c r="E142"/>
  <c r="H141"/>
  <c r="I141" s="1"/>
  <c r="H140"/>
  <c r="I140" s="1"/>
  <c r="H139"/>
  <c r="I139" s="1"/>
  <c r="H138"/>
  <c r="I138" s="1"/>
  <c r="H137"/>
  <c r="I137" s="1"/>
  <c r="H136"/>
  <c r="I136" s="1"/>
  <c r="H135"/>
  <c r="I135" s="1"/>
  <c r="H134"/>
  <c r="I134" s="1"/>
  <c r="H133"/>
  <c r="I133" s="1"/>
  <c r="H132"/>
  <c r="I132" s="1"/>
  <c r="H131"/>
  <c r="I131" s="1"/>
  <c r="H130"/>
  <c r="I130" s="1"/>
  <c r="H129"/>
  <c r="I129" s="1"/>
  <c r="H128"/>
  <c r="I128" s="1"/>
  <c r="H127"/>
  <c r="I127" s="1"/>
  <c r="H126"/>
  <c r="I126" s="1"/>
  <c r="J125"/>
  <c r="H125"/>
  <c r="I125" s="1"/>
  <c r="J124"/>
  <c r="H124"/>
  <c r="I124" s="1"/>
  <c r="J123"/>
  <c r="H123"/>
  <c r="I123" s="1"/>
  <c r="J122"/>
  <c r="H122"/>
  <c r="I122" s="1"/>
  <c r="H121"/>
  <c r="I121" s="1"/>
  <c r="H120"/>
  <c r="I120" s="1"/>
  <c r="H119"/>
  <c r="I119" s="1"/>
  <c r="H118"/>
  <c r="I118" s="1"/>
  <c r="H117"/>
  <c r="I117" s="1"/>
  <c r="H116"/>
  <c r="I116" s="1"/>
  <c r="H115"/>
  <c r="I115" s="1"/>
  <c r="J114"/>
  <c r="H114"/>
  <c r="I114" s="1"/>
  <c r="J113"/>
  <c r="H113"/>
  <c r="I113" s="1"/>
  <c r="J112"/>
  <c r="H112"/>
  <c r="I112" s="1"/>
  <c r="H111"/>
  <c r="I111" s="1"/>
  <c r="H110"/>
  <c r="I110" s="1"/>
  <c r="H109"/>
  <c r="I109" s="1"/>
  <c r="A109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C20" i="19" s="1"/>
  <c r="H108" i="23"/>
  <c r="I108" s="1"/>
  <c r="J106"/>
  <c r="G19" i="19" s="1"/>
  <c r="G106" i="23"/>
  <c r="D19" i="19" s="1"/>
  <c r="H105" i="23"/>
  <c r="I105" s="1"/>
  <c r="H104"/>
  <c r="J102"/>
  <c r="G18" i="19" s="1"/>
  <c r="I102" i="23"/>
  <c r="F18" i="19" s="1"/>
  <c r="H102" i="23"/>
  <c r="E18" i="19" s="1"/>
  <c r="G102" i="23"/>
  <c r="D18" i="19" s="1"/>
  <c r="H94" i="23"/>
  <c r="I94" s="1"/>
  <c r="H93"/>
  <c r="I93" s="1"/>
  <c r="H92"/>
  <c r="I92" s="1"/>
  <c r="H91"/>
  <c r="I91" s="1"/>
  <c r="H90"/>
  <c r="I90" s="1"/>
  <c r="A90"/>
  <c r="A91" s="1"/>
  <c r="A92" s="1"/>
  <c r="A93" s="1"/>
  <c r="A95" s="1"/>
  <c r="H89"/>
  <c r="G16" i="19"/>
  <c r="F16"/>
  <c r="E16"/>
  <c r="D16"/>
  <c r="J40" i="23"/>
  <c r="G15" i="19" s="1"/>
  <c r="G40" i="23"/>
  <c r="D15" i="19" s="1"/>
  <c r="H39" i="23"/>
  <c r="I39" s="1"/>
  <c r="H38"/>
  <c r="H37"/>
  <c r="I37" s="1"/>
  <c r="G14" i="19"/>
  <c r="H35" i="23"/>
  <c r="E14" i="19" s="1"/>
  <c r="G35" i="23"/>
  <c r="D14" i="19" s="1"/>
  <c r="I34" i="23"/>
  <c r="I32"/>
  <c r="A32"/>
  <c r="C14" i="19" s="1"/>
  <c r="I31" i="23"/>
  <c r="C28" i="4"/>
  <c r="D216" i="17"/>
  <c r="E216"/>
  <c r="W12" i="20" s="1"/>
  <c r="G216" i="17"/>
  <c r="H216"/>
  <c r="V12" i="20" s="1"/>
  <c r="J216" i="17"/>
  <c r="K216"/>
  <c r="O216"/>
  <c r="AB12" i="20" s="1"/>
  <c r="N216" i="17"/>
  <c r="AA12" i="20" s="1"/>
  <c r="L215" i="17"/>
  <c r="N88"/>
  <c r="O88"/>
  <c r="F88"/>
  <c r="G88"/>
  <c r="H88"/>
  <c r="I88"/>
  <c r="J88"/>
  <c r="K88"/>
  <c r="E88"/>
  <c r="D88"/>
  <c r="K283"/>
  <c r="J283"/>
  <c r="J321"/>
  <c r="J328"/>
  <c r="H291"/>
  <c r="H297"/>
  <c r="H304"/>
  <c r="H317"/>
  <c r="H321"/>
  <c r="H328"/>
  <c r="O328"/>
  <c r="O317"/>
  <c r="O304"/>
  <c r="O297"/>
  <c r="O291"/>
  <c r="D283"/>
  <c r="E283"/>
  <c r="F283"/>
  <c r="H283"/>
  <c r="I283"/>
  <c r="N283"/>
  <c r="O283"/>
  <c r="O273"/>
  <c r="E328"/>
  <c r="F328"/>
  <c r="I328"/>
  <c r="K328"/>
  <c r="N328"/>
  <c r="D328"/>
  <c r="E321"/>
  <c r="F321"/>
  <c r="I321"/>
  <c r="D321"/>
  <c r="E317"/>
  <c r="F317"/>
  <c r="I317"/>
  <c r="J317"/>
  <c r="K317"/>
  <c r="N317"/>
  <c r="D317"/>
  <c r="E304"/>
  <c r="F304"/>
  <c r="I304"/>
  <c r="J304"/>
  <c r="K304"/>
  <c r="N304"/>
  <c r="D304"/>
  <c r="E297"/>
  <c r="F297"/>
  <c r="I297"/>
  <c r="J297"/>
  <c r="K297"/>
  <c r="N297"/>
  <c r="D297"/>
  <c r="E291"/>
  <c r="F291"/>
  <c r="I291"/>
  <c r="J291"/>
  <c r="K291"/>
  <c r="N291"/>
  <c r="D291"/>
  <c r="E273"/>
  <c r="F273"/>
  <c r="H273"/>
  <c r="I273"/>
  <c r="K273"/>
  <c r="N273"/>
  <c r="D273"/>
  <c r="L316"/>
  <c r="M316" s="1"/>
  <c r="G316"/>
  <c r="L315"/>
  <c r="M315" s="1"/>
  <c r="G315"/>
  <c r="L314"/>
  <c r="M314" s="1"/>
  <c r="G314"/>
  <c r="L313"/>
  <c r="M313" s="1"/>
  <c r="G313"/>
  <c r="L312"/>
  <c r="M312" s="1"/>
  <c r="G312"/>
  <c r="L311"/>
  <c r="M311" s="1"/>
  <c r="G311"/>
  <c r="L310"/>
  <c r="M310" s="1"/>
  <c r="G310"/>
  <c r="L309"/>
  <c r="M309" s="1"/>
  <c r="G309"/>
  <c r="L308"/>
  <c r="M308" s="1"/>
  <c r="G308"/>
  <c r="L307"/>
  <c r="M307" s="1"/>
  <c r="G307"/>
  <c r="L306"/>
  <c r="M306" s="1"/>
  <c r="G306"/>
  <c r="L327"/>
  <c r="M327" s="1"/>
  <c r="G327"/>
  <c r="L326"/>
  <c r="M326" s="1"/>
  <c r="G326"/>
  <c r="L325"/>
  <c r="M325" s="1"/>
  <c r="G325"/>
  <c r="L324"/>
  <c r="M324" s="1"/>
  <c r="G324"/>
  <c r="L323"/>
  <c r="M323" s="1"/>
  <c r="L320"/>
  <c r="M320" s="1"/>
  <c r="G320"/>
  <c r="G321" s="1"/>
  <c r="L319"/>
  <c r="M319" s="1"/>
  <c r="L303"/>
  <c r="M303" s="1"/>
  <c r="L302"/>
  <c r="M302" s="1"/>
  <c r="G302"/>
  <c r="L301"/>
  <c r="M301" s="1"/>
  <c r="G301"/>
  <c r="L300"/>
  <c r="M300" s="1"/>
  <c r="G300"/>
  <c r="L299"/>
  <c r="M299" s="1"/>
  <c r="G299"/>
  <c r="L296"/>
  <c r="M296" s="1"/>
  <c r="G296"/>
  <c r="G295"/>
  <c r="G294"/>
  <c r="L293"/>
  <c r="M293" s="1"/>
  <c r="M297" s="1"/>
  <c r="G293"/>
  <c r="M290"/>
  <c r="M289"/>
  <c r="G288"/>
  <c r="L287"/>
  <c r="M287" s="1"/>
  <c r="G287"/>
  <c r="L286"/>
  <c r="M286" s="1"/>
  <c r="G286"/>
  <c r="L285"/>
  <c r="M285" s="1"/>
  <c r="G285"/>
  <c r="L282"/>
  <c r="M282" s="1"/>
  <c r="G282"/>
  <c r="L281"/>
  <c r="M281" s="1"/>
  <c r="G281"/>
  <c r="L280"/>
  <c r="M280" s="1"/>
  <c r="G280"/>
  <c r="L279"/>
  <c r="M279" s="1"/>
  <c r="G279"/>
  <c r="M278"/>
  <c r="G278"/>
  <c r="L277"/>
  <c r="M277" s="1"/>
  <c r="G277"/>
  <c r="G276"/>
  <c r="G275"/>
  <c r="L272"/>
  <c r="M272" s="1"/>
  <c r="G272"/>
  <c r="L271"/>
  <c r="M271" s="1"/>
  <c r="G271"/>
  <c r="L270"/>
  <c r="M270" s="1"/>
  <c r="G270"/>
  <c r="J269"/>
  <c r="L269" s="1"/>
  <c r="M269" s="1"/>
  <c r="A31"/>
  <c r="A32" s="1"/>
  <c r="A33" s="1"/>
  <c r="A34" s="1"/>
  <c r="A57"/>
  <c r="A58" s="1"/>
  <c r="A59" s="1"/>
  <c r="C26" i="4"/>
  <c r="C25"/>
  <c r="A235" i="23" l="1"/>
  <c r="A236" s="1"/>
  <c r="A237" s="1"/>
  <c r="A238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5" s="1"/>
  <c r="A256" s="1"/>
  <c r="A257" s="1"/>
  <c r="A258" s="1"/>
  <c r="C23" i="19" s="1"/>
  <c r="I38" i="23"/>
  <c r="I40" s="1"/>
  <c r="F15" i="19" s="1"/>
  <c r="M304" i="17"/>
  <c r="H358" i="23"/>
  <c r="H233"/>
  <c r="I403"/>
  <c r="F31" i="19" s="1"/>
  <c r="I89" i="23"/>
  <c r="I96" s="1"/>
  <c r="F17" i="19" s="1"/>
  <c r="H96" i="23"/>
  <c r="E17" i="19" s="1"/>
  <c r="H40" i="23"/>
  <c r="E15" i="19" s="1"/>
  <c r="H239" i="23"/>
  <c r="M291" i="17"/>
  <c r="I233" i="23"/>
  <c r="H199"/>
  <c r="H276"/>
  <c r="E24" i="19" s="1"/>
  <c r="H332" i="23"/>
  <c r="H338"/>
  <c r="H355"/>
  <c r="H363"/>
  <c r="H372"/>
  <c r="E29" i="19" s="1"/>
  <c r="H403" i="23"/>
  <c r="E31" i="19" s="1"/>
  <c r="I35" i="23"/>
  <c r="F14" i="19" s="1"/>
  <c r="H345" i="23"/>
  <c r="J364"/>
  <c r="G28" i="19" s="1"/>
  <c r="I142" i="23"/>
  <c r="F20" i="19" s="1"/>
  <c r="I199" i="23"/>
  <c r="J260"/>
  <c r="G23" i="19" s="1"/>
  <c r="H315" i="23"/>
  <c r="H324"/>
  <c r="H106"/>
  <c r="E19" i="19" s="1"/>
  <c r="J142" i="23"/>
  <c r="G20" i="19" s="1"/>
  <c r="G260" i="23"/>
  <c r="D23" i="19" s="1"/>
  <c r="G364" i="23"/>
  <c r="D28" i="19" s="1"/>
  <c r="I164" i="23"/>
  <c r="F21" i="19" s="1"/>
  <c r="I182" i="23"/>
  <c r="F22" i="19" s="1"/>
  <c r="I211" i="23"/>
  <c r="I217"/>
  <c r="I253"/>
  <c r="I324"/>
  <c r="I286"/>
  <c r="F25" i="19" s="1"/>
  <c r="I315" i="23"/>
  <c r="I228"/>
  <c r="H211"/>
  <c r="H286"/>
  <c r="E25" i="19" s="1"/>
  <c r="H182" i="23"/>
  <c r="E22" i="19" s="1"/>
  <c r="I334" i="23"/>
  <c r="I338" s="1"/>
  <c r="I347"/>
  <c r="I355" s="1"/>
  <c r="H217"/>
  <c r="H142"/>
  <c r="E20" i="19" s="1"/>
  <c r="H164" i="23"/>
  <c r="E21" i="19" s="1"/>
  <c r="H228" i="23"/>
  <c r="H253"/>
  <c r="I104"/>
  <c r="I106" s="1"/>
  <c r="F19" i="19" s="1"/>
  <c r="I239" i="23"/>
  <c r="I263"/>
  <c r="I276" s="1"/>
  <c r="F24" i="19" s="1"/>
  <c r="I326" i="23"/>
  <c r="I332" s="1"/>
  <c r="I341"/>
  <c r="I345" s="1"/>
  <c r="I360"/>
  <c r="I363" s="1"/>
  <c r="I366"/>
  <c r="I372" s="1"/>
  <c r="F29" i="19" s="1"/>
  <c r="G273" i="17"/>
  <c r="G328"/>
  <c r="M215"/>
  <c r="G317"/>
  <c r="L297"/>
  <c r="G297"/>
  <c r="G291"/>
  <c r="M283"/>
  <c r="M317"/>
  <c r="M273"/>
  <c r="G304"/>
  <c r="D330"/>
  <c r="O330"/>
  <c r="H330"/>
  <c r="M328"/>
  <c r="G283"/>
  <c r="J273"/>
  <c r="J330" s="1"/>
  <c r="E330"/>
  <c r="N330"/>
  <c r="L328"/>
  <c r="L283"/>
  <c r="L317"/>
  <c r="L273"/>
  <c r="L291"/>
  <c r="L304"/>
  <c r="K330"/>
  <c r="K371"/>
  <c r="J30" i="4" s="1"/>
  <c r="L371" i="17"/>
  <c r="K30" i="4" s="1"/>
  <c r="M371" i="17"/>
  <c r="L30" i="4" s="1"/>
  <c r="J371" i="17"/>
  <c r="I30" i="4" s="1"/>
  <c r="C21"/>
  <c r="C17"/>
  <c r="C16"/>
  <c r="C15"/>
  <c r="C14"/>
  <c r="H364" i="23" l="1"/>
  <c r="E28" i="19" s="1"/>
  <c r="H260" i="23"/>
  <c r="E23" i="19" s="1"/>
  <c r="I260" i="23"/>
  <c r="F23" i="19" s="1"/>
  <c r="M330" i="17"/>
  <c r="G330"/>
  <c r="L330"/>
  <c r="F28" i="19" l="1"/>
  <c r="F33" s="1"/>
  <c r="I407" i="23"/>
  <c r="H44" i="21" l="1"/>
  <c r="I44" s="1"/>
  <c r="J44" s="1"/>
  <c r="H45"/>
  <c r="I45" s="1"/>
  <c r="J45" s="1"/>
  <c r="H70"/>
  <c r="I70" s="1"/>
  <c r="J70" s="1"/>
  <c r="H55"/>
  <c r="I55" s="1"/>
  <c r="J55" s="1"/>
  <c r="A42" i="17" l="1"/>
  <c r="A43" s="1"/>
  <c r="I59" i="21" l="1"/>
  <c r="J59" s="1"/>
  <c r="J42"/>
  <c r="H54"/>
  <c r="I54" s="1"/>
  <c r="J54" s="1"/>
  <c r="H47"/>
  <c r="I47" s="1"/>
  <c r="J47" s="1"/>
  <c r="E211" i="17"/>
  <c r="F211"/>
  <c r="G211"/>
  <c r="H211"/>
  <c r="I211"/>
  <c r="J211"/>
  <c r="K211"/>
  <c r="L211"/>
  <c r="M211"/>
  <c r="N211"/>
  <c r="O211"/>
  <c r="D211"/>
  <c r="D21" i="4" s="1"/>
  <c r="A32" i="21" l="1"/>
  <c r="A33" s="1"/>
  <c r="N21" i="4"/>
  <c r="M21"/>
  <c r="L21"/>
  <c r="K21"/>
  <c r="J21"/>
  <c r="I21"/>
  <c r="H21"/>
  <c r="F21"/>
  <c r="E21"/>
  <c r="E238" i="17"/>
  <c r="E60"/>
  <c r="E15" i="4" s="1"/>
  <c r="F60" i="17"/>
  <c r="G60"/>
  <c r="F15" i="4" s="1"/>
  <c r="H60" i="17"/>
  <c r="I60"/>
  <c r="J60"/>
  <c r="I15" i="4" s="1"/>
  <c r="K60" i="17"/>
  <c r="J15" i="4" s="1"/>
  <c r="L60" i="17"/>
  <c r="K15" i="4" s="1"/>
  <c r="M60" i="17"/>
  <c r="L15" i="4" s="1"/>
  <c r="N60" i="17"/>
  <c r="M15" i="4" s="1"/>
  <c r="O60" i="17"/>
  <c r="N15" i="4" s="1"/>
  <c r="D60" i="17"/>
  <c r="D15" i="4" s="1"/>
  <c r="A14"/>
  <c r="A15" s="1"/>
  <c r="A82" i="17"/>
  <c r="A83" s="1"/>
  <c r="A84" s="1"/>
  <c r="A85" s="1"/>
  <c r="A86" s="1"/>
  <c r="A87" s="1"/>
  <c r="A91" s="1"/>
  <c r="A11" i="21"/>
  <c r="A12" s="1"/>
  <c r="E66" i="17"/>
  <c r="E16" i="4" s="1"/>
  <c r="F66" i="17"/>
  <c r="G66"/>
  <c r="F16" i="4" s="1"/>
  <c r="H66" i="17"/>
  <c r="H16" i="4" s="1"/>
  <c r="I66" i="17"/>
  <c r="J66"/>
  <c r="K66"/>
  <c r="L66"/>
  <c r="K16" i="4" s="1"/>
  <c r="M66" i="17"/>
  <c r="L16" i="4" s="1"/>
  <c r="N66" i="17"/>
  <c r="D66"/>
  <c r="D16" i="4" s="1"/>
  <c r="O50" i="17"/>
  <c r="N13" i="4" s="1"/>
  <c r="E50" i="17"/>
  <c r="E13" i="4" s="1"/>
  <c r="F50" i="17"/>
  <c r="G50"/>
  <c r="F13" i="4" s="1"/>
  <c r="H50" i="17"/>
  <c r="H13" i="4" s="1"/>
  <c r="J50" i="17"/>
  <c r="I13" i="4" s="1"/>
  <c r="K50" i="17"/>
  <c r="J13" i="4" s="1"/>
  <c r="N50" i="17"/>
  <c r="M13" i="4" s="1"/>
  <c r="D50" i="17"/>
  <c r="D13" i="4" s="1"/>
  <c r="L68" i="17"/>
  <c r="M68" s="1"/>
  <c r="G68"/>
  <c r="E68"/>
  <c r="E69"/>
  <c r="G69" s="1"/>
  <c r="O236"/>
  <c r="N24" i="4" s="1"/>
  <c r="N236" i="17"/>
  <c r="M24" i="4" s="1"/>
  <c r="K236" i="17"/>
  <c r="J24" i="4" s="1"/>
  <c r="J236" i="17"/>
  <c r="I24" i="4" s="1"/>
  <c r="H236" i="17"/>
  <c r="H24" i="4" s="1"/>
  <c r="L235" i="17"/>
  <c r="M235" s="1"/>
  <c r="L234"/>
  <c r="M234" s="1"/>
  <c r="L233"/>
  <c r="M232"/>
  <c r="H15" i="4" l="1"/>
  <c r="A34" i="21"/>
  <c r="A35" s="1"/>
  <c r="A36" s="1"/>
  <c r="C9" i="19" s="1"/>
  <c r="A92" i="17"/>
  <c r="L236"/>
  <c r="K24" i="4" s="1"/>
  <c r="M233" i="17"/>
  <c r="M236" s="1"/>
  <c r="L24" i="4" s="1"/>
  <c r="A15" i="21" l="1"/>
  <c r="A16" s="1"/>
  <c r="A17" s="1"/>
  <c r="A18" s="1"/>
  <c r="A19" s="1"/>
  <c r="A20" s="1"/>
  <c r="A95" i="17"/>
  <c r="A96" s="1"/>
  <c r="M72"/>
  <c r="A99" l="1"/>
  <c r="A104" s="1"/>
  <c r="A105" s="1"/>
  <c r="A106" s="1"/>
  <c r="G77"/>
  <c r="F18" i="4" s="1"/>
  <c r="O77" i="17"/>
  <c r="N18" i="4" s="1"/>
  <c r="N77" i="17"/>
  <c r="M18" i="4" s="1"/>
  <c r="M77" i="17"/>
  <c r="L18" i="4" s="1"/>
  <c r="L77" i="17"/>
  <c r="K18" i="4" s="1"/>
  <c r="K77" i="17"/>
  <c r="J18" i="4" s="1"/>
  <c r="J77" i="17"/>
  <c r="I18" i="4" s="1"/>
  <c r="H77" i="17"/>
  <c r="E77"/>
  <c r="E18" i="4" s="1"/>
  <c r="D77" i="17"/>
  <c r="D18" i="4" s="1"/>
  <c r="A219" i="17"/>
  <c r="A220" s="1"/>
  <c r="A221" s="1"/>
  <c r="A222" s="1"/>
  <c r="A223" s="1"/>
  <c r="A224" s="1"/>
  <c r="A225" s="1"/>
  <c r="A226" s="1"/>
  <c r="A227" s="1"/>
  <c r="A228" s="1"/>
  <c r="A229" s="1"/>
  <c r="C23" i="4" s="1"/>
  <c r="A333" i="17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H18" i="4" l="1"/>
  <c r="A108" i="17"/>
  <c r="A109" s="1"/>
  <c r="A110" s="1"/>
  <c r="A111" s="1"/>
  <c r="A112" s="1"/>
  <c r="C19" i="4" s="1"/>
  <c r="E44" i="17"/>
  <c r="F44"/>
  <c r="G44"/>
  <c r="H44"/>
  <c r="I44"/>
  <c r="J44"/>
  <c r="K44"/>
  <c r="N44"/>
  <c r="O44"/>
  <c r="D44"/>
  <c r="M43"/>
  <c r="M42"/>
  <c r="L42"/>
  <c r="M41"/>
  <c r="L41"/>
  <c r="D37"/>
  <c r="E34"/>
  <c r="E32"/>
  <c r="E31"/>
  <c r="E30"/>
  <c r="G20"/>
  <c r="J20"/>
  <c r="I9" i="4" s="1"/>
  <c r="K20" i="17"/>
  <c r="J9" i="4" s="1"/>
  <c r="N20" i="17"/>
  <c r="M19"/>
  <c r="M17"/>
  <c r="M16"/>
  <c r="O15"/>
  <c r="M15"/>
  <c r="O14"/>
  <c r="M14"/>
  <c r="O13"/>
  <c r="M13"/>
  <c r="M12"/>
  <c r="O10"/>
  <c r="M10"/>
  <c r="E37" l="1"/>
  <c r="G37" s="1"/>
  <c r="G38" s="1"/>
  <c r="D38"/>
  <c r="L44"/>
  <c r="M44"/>
  <c r="K28"/>
  <c r="K392" s="1"/>
  <c r="G28"/>
  <c r="G392" s="1"/>
  <c r="N28"/>
  <c r="N392" s="1"/>
  <c r="H28"/>
  <c r="H392" s="1"/>
  <c r="L20"/>
  <c r="K9" i="4" s="1"/>
  <c r="E28" i="17"/>
  <c r="E392" s="1"/>
  <c r="M11"/>
  <c r="M20" s="1"/>
  <c r="L9" i="4" s="1"/>
  <c r="O20" i="17"/>
  <c r="D28"/>
  <c r="D392" s="1"/>
  <c r="J28"/>
  <c r="J392" s="1"/>
  <c r="E38" l="1"/>
  <c r="O28"/>
  <c r="O392" s="1"/>
  <c r="N9" i="4"/>
  <c r="M28" i="17"/>
  <c r="M392" s="1"/>
  <c r="L28"/>
  <c r="L392" s="1"/>
  <c r="E353" l="1"/>
  <c r="E29" i="4" s="1"/>
  <c r="H353" i="17"/>
  <c r="H29" i="4" s="1"/>
  <c r="J353" i="17"/>
  <c r="I29" i="4" s="1"/>
  <c r="K353" i="17"/>
  <c r="J29" i="4" s="1"/>
  <c r="N353" i="17"/>
  <c r="M29" i="4" s="1"/>
  <c r="O353" i="17"/>
  <c r="N29" i="4" s="1"/>
  <c r="D353" i="17"/>
  <c r="D29" i="4" s="1"/>
  <c r="G352" i="17"/>
  <c r="L351"/>
  <c r="M351" s="1"/>
  <c r="G351"/>
  <c r="L350"/>
  <c r="M350" s="1"/>
  <c r="G350"/>
  <c r="L349"/>
  <c r="M349" s="1"/>
  <c r="G349"/>
  <c r="L348"/>
  <c r="M348" s="1"/>
  <c r="G348"/>
  <c r="L347"/>
  <c r="M347" s="1"/>
  <c r="G347"/>
  <c r="G346"/>
  <c r="G345"/>
  <c r="L344"/>
  <c r="M344" s="1"/>
  <c r="G344"/>
  <c r="L343"/>
  <c r="M343" s="1"/>
  <c r="G343"/>
  <c r="L342"/>
  <c r="M342" s="1"/>
  <c r="G342"/>
  <c r="L341"/>
  <c r="M341" s="1"/>
  <c r="G341"/>
  <c r="L340"/>
  <c r="M340" s="1"/>
  <c r="G340"/>
  <c r="L339"/>
  <c r="M339" s="1"/>
  <c r="G339"/>
  <c r="L338"/>
  <c r="M338" s="1"/>
  <c r="G338"/>
  <c r="L337"/>
  <c r="M337" s="1"/>
  <c r="G337"/>
  <c r="L336"/>
  <c r="G336"/>
  <c r="L335"/>
  <c r="M335" s="1"/>
  <c r="G335"/>
  <c r="L334"/>
  <c r="M334" s="1"/>
  <c r="G334"/>
  <c r="L333"/>
  <c r="M333" s="1"/>
  <c r="G333"/>
  <c r="L332"/>
  <c r="M332" s="1"/>
  <c r="G332"/>
  <c r="G353" l="1"/>
  <c r="M353"/>
  <c r="L29" i="4" s="1"/>
  <c r="L353" i="17"/>
  <c r="F29" i="4" l="1"/>
  <c r="Y18" i="20"/>
  <c r="K29" i="4"/>
  <c r="O230" i="17"/>
  <c r="N23" i="4" s="1"/>
  <c r="L227" i="17"/>
  <c r="M227" s="1"/>
  <c r="L226"/>
  <c r="M226" s="1"/>
  <c r="L225"/>
  <c r="M225" s="1"/>
  <c r="L224"/>
  <c r="M224" s="1"/>
  <c r="L222"/>
  <c r="M222" s="1"/>
  <c r="L221"/>
  <c r="M221" s="1"/>
  <c r="L220"/>
  <c r="M220" s="1"/>
  <c r="L219"/>
  <c r="M219" s="1"/>
  <c r="L218"/>
  <c r="M218" s="1"/>
  <c r="E230"/>
  <c r="E23" i="4" s="1"/>
  <c r="F230" i="17"/>
  <c r="G230"/>
  <c r="F23" i="4" s="1"/>
  <c r="H230" i="17"/>
  <c r="H23" i="4" s="1"/>
  <c r="I230" i="17"/>
  <c r="J230"/>
  <c r="I23" i="4" s="1"/>
  <c r="K230" i="17"/>
  <c r="J23" i="4" s="1"/>
  <c r="N230" i="17"/>
  <c r="M23" i="4" s="1"/>
  <c r="D230" i="17"/>
  <c r="D23" i="4" s="1"/>
  <c r="A43" i="21"/>
  <c r="H50"/>
  <c r="I50" s="1"/>
  <c r="J50" s="1"/>
  <c r="H42"/>
  <c r="E249" i="17"/>
  <c r="E26" i="4" s="1"/>
  <c r="G249" i="17"/>
  <c r="F26" i="4" s="1"/>
  <c r="H249" i="17"/>
  <c r="H26" i="4" s="1"/>
  <c r="I249" i="17"/>
  <c r="J249"/>
  <c r="I26" i="4" s="1"/>
  <c r="K249" i="17"/>
  <c r="J26" i="4" s="1"/>
  <c r="L249" i="17"/>
  <c r="K26" i="4" s="1"/>
  <c r="M249" i="17"/>
  <c r="L26" i="4" s="1"/>
  <c r="N249" i="17"/>
  <c r="M26" i="4" s="1"/>
  <c r="O249" i="17"/>
  <c r="N26" i="4" s="1"/>
  <c r="D249" i="17"/>
  <c r="D26" i="4" s="1"/>
  <c r="L214" i="17"/>
  <c r="M214" s="1"/>
  <c r="L213"/>
  <c r="I42" i="21" l="1"/>
  <c r="A44"/>
  <c r="A45" s="1"/>
  <c r="A46" s="1"/>
  <c r="A47" s="1"/>
  <c r="A49" s="1"/>
  <c r="M213" i="17"/>
  <c r="M216" s="1"/>
  <c r="Z12" i="20" s="1"/>
  <c r="L216" i="17"/>
  <c r="X12" i="20" s="1"/>
  <c r="L230" i="17"/>
  <c r="K23" i="4" s="1"/>
  <c r="M230" i="17"/>
  <c r="L23" i="4" s="1"/>
  <c r="A50" i="21" l="1"/>
  <c r="A51" s="1"/>
  <c r="A52" s="1"/>
  <c r="A53" s="1"/>
  <c r="A54" s="1"/>
  <c r="H10"/>
  <c r="I10" s="1"/>
  <c r="J10" s="1"/>
  <c r="D266" i="17"/>
  <c r="D27" i="4" s="1"/>
  <c r="E266" i="17"/>
  <c r="E27" i="4" s="1"/>
  <c r="F266" i="17"/>
  <c r="G266"/>
  <c r="F27" i="4" s="1"/>
  <c r="H266" i="17"/>
  <c r="H27" i="4" s="1"/>
  <c r="I266" i="17"/>
  <c r="J266"/>
  <c r="I27" i="4" s="1"/>
  <c r="K266" i="17"/>
  <c r="J27" i="4" s="1"/>
  <c r="L266" i="17"/>
  <c r="K27" i="4" s="1"/>
  <c r="L27"/>
  <c r="N266" i="17"/>
  <c r="M27" i="4" s="1"/>
  <c r="O266" i="17"/>
  <c r="N27" i="4" s="1"/>
  <c r="A252" i="17"/>
  <c r="E100"/>
  <c r="F100"/>
  <c r="G100"/>
  <c r="H100"/>
  <c r="I100"/>
  <c r="J100"/>
  <c r="K100"/>
  <c r="L100"/>
  <c r="M100"/>
  <c r="N100"/>
  <c r="O100"/>
  <c r="D100"/>
  <c r="E97"/>
  <c r="G97"/>
  <c r="H97"/>
  <c r="I97"/>
  <c r="J97"/>
  <c r="K97"/>
  <c r="L97"/>
  <c r="M97"/>
  <c r="N97"/>
  <c r="O97"/>
  <c r="D97"/>
  <c r="E93"/>
  <c r="F93"/>
  <c r="G93"/>
  <c r="H93"/>
  <c r="I93"/>
  <c r="J93"/>
  <c r="K93"/>
  <c r="L93"/>
  <c r="M93"/>
  <c r="N93"/>
  <c r="O93"/>
  <c r="D93"/>
  <c r="L83"/>
  <c r="M83" s="1"/>
  <c r="L84"/>
  <c r="M84" s="1"/>
  <c r="L85"/>
  <c r="M85" s="1"/>
  <c r="L82"/>
  <c r="E54"/>
  <c r="E14" i="4" s="1"/>
  <c r="F54" i="17"/>
  <c r="G54"/>
  <c r="F14" i="4" s="1"/>
  <c r="H54" i="17"/>
  <c r="I54"/>
  <c r="J54"/>
  <c r="I14" i="4" s="1"/>
  <c r="K54" i="17"/>
  <c r="J14" i="4" s="1"/>
  <c r="L54" i="17"/>
  <c r="K14" i="4" s="1"/>
  <c r="M54" i="17"/>
  <c r="L14" i="4" s="1"/>
  <c r="N54" i="17"/>
  <c r="M14" i="4" s="1"/>
  <c r="O54" i="17"/>
  <c r="N14" i="4" s="1"/>
  <c r="D54" i="17"/>
  <c r="D14" i="4" s="1"/>
  <c r="A55" i="21" l="1"/>
  <c r="A56" s="1"/>
  <c r="A57" s="1"/>
  <c r="N101" i="17"/>
  <c r="F101"/>
  <c r="A253"/>
  <c r="M82"/>
  <c r="M88" s="1"/>
  <c r="L88"/>
  <c r="O101"/>
  <c r="M101"/>
  <c r="D28" i="4"/>
  <c r="G101" i="17"/>
  <c r="H101"/>
  <c r="L101"/>
  <c r="E101"/>
  <c r="J101"/>
  <c r="K101"/>
  <c r="D101"/>
  <c r="M373"/>
  <c r="A59" i="21" l="1"/>
  <c r="A22"/>
  <c r="A254" i="17"/>
  <c r="A255" s="1"/>
  <c r="A256" s="1"/>
  <c r="A257" s="1"/>
  <c r="A258" s="1"/>
  <c r="A259" s="1"/>
  <c r="A260" s="1"/>
  <c r="A261" s="1"/>
  <c r="A262" s="1"/>
  <c r="A263" s="1"/>
  <c r="A264" s="1"/>
  <c r="A265" s="1"/>
  <c r="C27" i="4" s="1"/>
  <c r="K28"/>
  <c r="N28"/>
  <c r="I28"/>
  <c r="J28"/>
  <c r="F28"/>
  <c r="L28"/>
  <c r="M28"/>
  <c r="E28"/>
  <c r="H28"/>
  <c r="L48" i="17"/>
  <c r="M48" s="1"/>
  <c r="L49"/>
  <c r="M49" s="1"/>
  <c r="A47"/>
  <c r="A48" s="1"/>
  <c r="A49" s="1"/>
  <c r="C13" i="4" s="1"/>
  <c r="H53" i="21"/>
  <c r="I53" s="1"/>
  <c r="J53" s="1"/>
  <c r="H52"/>
  <c r="I52" s="1"/>
  <c r="J52" s="1"/>
  <c r="H51"/>
  <c r="I51" s="1"/>
  <c r="J51" s="1"/>
  <c r="H49"/>
  <c r="I49" s="1"/>
  <c r="J49" s="1"/>
  <c r="H12"/>
  <c r="H43"/>
  <c r="G38"/>
  <c r="D9" i="19" s="1"/>
  <c r="H34" i="21"/>
  <c r="I34" s="1"/>
  <c r="J34" s="1"/>
  <c r="H33"/>
  <c r="I33" s="1"/>
  <c r="J33" s="1"/>
  <c r="H32"/>
  <c r="I32" s="1"/>
  <c r="J32" s="1"/>
  <c r="H31"/>
  <c r="H36"/>
  <c r="I36" s="1"/>
  <c r="J36" s="1"/>
  <c r="H35"/>
  <c r="I35" s="1"/>
  <c r="J35" s="1"/>
  <c r="G28"/>
  <c r="D8" i="19" s="1"/>
  <c r="H22" i="21"/>
  <c r="I22" s="1"/>
  <c r="J22" s="1"/>
  <c r="H19"/>
  <c r="I19" s="1"/>
  <c r="J19" s="1"/>
  <c r="H17"/>
  <c r="I17" s="1"/>
  <c r="J17" s="1"/>
  <c r="H16"/>
  <c r="I16" s="1"/>
  <c r="J16" s="1"/>
  <c r="H15"/>
  <c r="I15" s="1"/>
  <c r="J15" s="1"/>
  <c r="H14"/>
  <c r="I14" s="1"/>
  <c r="J14" s="1"/>
  <c r="H26"/>
  <c r="I26" s="1"/>
  <c r="J26" s="1"/>
  <c r="H25"/>
  <c r="I25" s="1"/>
  <c r="J25" s="1"/>
  <c r="H11"/>
  <c r="I11" s="1"/>
  <c r="J11" s="1"/>
  <c r="E239" i="17"/>
  <c r="E25" i="4" s="1"/>
  <c r="F239" i="17"/>
  <c r="H239"/>
  <c r="H25" i="4" s="1"/>
  <c r="D239" i="17"/>
  <c r="D25" i="4" s="1"/>
  <c r="O238" i="17"/>
  <c r="O239" s="1"/>
  <c r="N25" i="4" s="1"/>
  <c r="N238" i="17"/>
  <c r="N239" s="1"/>
  <c r="M25" i="4" s="1"/>
  <c r="K238" i="17"/>
  <c r="K239" s="1"/>
  <c r="J25" i="4" s="1"/>
  <c r="J238" i="17"/>
  <c r="J239" s="1"/>
  <c r="I25" i="4" s="1"/>
  <c r="G238" i="17"/>
  <c r="G239" s="1"/>
  <c r="F25" i="4" s="1"/>
  <c r="M391" i="17"/>
  <c r="L31" i="4" s="1"/>
  <c r="L391" i="17"/>
  <c r="K31" i="4" s="1"/>
  <c r="K391" i="17"/>
  <c r="J31" i="4" s="1"/>
  <c r="H391" i="17"/>
  <c r="H31" i="4" s="1"/>
  <c r="E391" i="17"/>
  <c r="E31" i="4" s="1"/>
  <c r="D391" i="17"/>
  <c r="D31" i="4" s="1"/>
  <c r="J391" i="17"/>
  <c r="I31" i="4" s="1"/>
  <c r="A374" i="17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C31" i="4" s="1"/>
  <c r="O371" i="17"/>
  <c r="N30" i="4" s="1"/>
  <c r="N371" i="17"/>
  <c r="M30" i="4" s="1"/>
  <c r="H371" i="17"/>
  <c r="H30" i="4" s="1"/>
  <c r="E371" i="17"/>
  <c r="E30" i="4" s="1"/>
  <c r="D371" i="17"/>
  <c r="D30" i="4" s="1"/>
  <c r="A356" i="17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C30" i="4" s="1"/>
  <c r="N22"/>
  <c r="M22"/>
  <c r="J22"/>
  <c r="I22"/>
  <c r="H22"/>
  <c r="E22"/>
  <c r="D22"/>
  <c r="A214" i="17"/>
  <c r="A215" s="1"/>
  <c r="C22" i="4" s="1"/>
  <c r="N154" i="17"/>
  <c r="M154"/>
  <c r="L154"/>
  <c r="K154"/>
  <c r="J154"/>
  <c r="H154"/>
  <c r="G144"/>
  <c r="H132"/>
  <c r="G132"/>
  <c r="E132"/>
  <c r="E208" s="1"/>
  <c r="D132"/>
  <c r="D208" s="1"/>
  <c r="N132"/>
  <c r="O113"/>
  <c r="N113"/>
  <c r="K113"/>
  <c r="J113"/>
  <c r="J114" s="1"/>
  <c r="I19" i="4" s="1"/>
  <c r="H113" i="17"/>
  <c r="D113"/>
  <c r="O70"/>
  <c r="N17" i="4" s="1"/>
  <c r="N70" i="17"/>
  <c r="M70"/>
  <c r="L70"/>
  <c r="K17" i="4" s="1"/>
  <c r="K70" i="17"/>
  <c r="J17" i="4" s="1"/>
  <c r="J70" i="17"/>
  <c r="I17" i="4" s="1"/>
  <c r="H70" i="17"/>
  <c r="G70"/>
  <c r="F17" i="4" s="1"/>
  <c r="D70" i="17"/>
  <c r="D17" i="4" s="1"/>
  <c r="E70" i="17"/>
  <c r="E17" i="4" s="1"/>
  <c r="F11"/>
  <c r="M11"/>
  <c r="I43" i="21" l="1"/>
  <c r="I74" s="1"/>
  <c r="F11" i="19" s="1"/>
  <c r="H74" i="21"/>
  <c r="E11" i="19" s="1"/>
  <c r="J74" i="21"/>
  <c r="I31"/>
  <c r="H38"/>
  <c r="E9" i="19" s="1"/>
  <c r="A23" i="21"/>
  <c r="A25" s="1"/>
  <c r="A60"/>
  <c r="A61" s="1"/>
  <c r="A62" s="1"/>
  <c r="A63" s="1"/>
  <c r="G208" i="17"/>
  <c r="N208"/>
  <c r="H208"/>
  <c r="H20" i="4" s="1"/>
  <c r="M17"/>
  <c r="H17"/>
  <c r="L17"/>
  <c r="D10" i="19"/>
  <c r="L50" i="17"/>
  <c r="K13" i="4" s="1"/>
  <c r="G39" i="21"/>
  <c r="G408" i="23" s="1"/>
  <c r="J132" i="17"/>
  <c r="J208" s="1"/>
  <c r="O132"/>
  <c r="M132"/>
  <c r="L238"/>
  <c r="L239" s="1"/>
  <c r="K25" i="4" s="1"/>
  <c r="M50" i="17"/>
  <c r="L13" i="4" s="1"/>
  <c r="I12" i="21"/>
  <c r="H28"/>
  <c r="E8" i="19" s="1"/>
  <c r="N114" i="17"/>
  <c r="M19" i="4" s="1"/>
  <c r="O114" i="17"/>
  <c r="N19" i="4" s="1"/>
  <c r="F22"/>
  <c r="E20"/>
  <c r="L113" i="17"/>
  <c r="L114" s="1"/>
  <c r="K19" i="4" s="1"/>
  <c r="D114" i="17"/>
  <c r="D19" i="4" s="1"/>
  <c r="G113" i="17"/>
  <c r="K132"/>
  <c r="K208" s="1"/>
  <c r="F20" i="4"/>
  <c r="G391" i="17"/>
  <c r="M113"/>
  <c r="M114" s="1"/>
  <c r="L19" i="4" s="1"/>
  <c r="H114" i="17"/>
  <c r="H19" i="4" s="1"/>
  <c r="D20"/>
  <c r="G371" i="17"/>
  <c r="F30" i="4" s="1"/>
  <c r="L22"/>
  <c r="K114" i="17"/>
  <c r="J19" i="4" s="1"/>
  <c r="E113" i="17"/>
  <c r="K22" i="4"/>
  <c r="J11"/>
  <c r="I11"/>
  <c r="A65" i="21" l="1"/>
  <c r="A66" s="1"/>
  <c r="A67" s="1"/>
  <c r="A64"/>
  <c r="J31"/>
  <c r="J38" s="1"/>
  <c r="I38"/>
  <c r="F9" i="19" s="1"/>
  <c r="G11"/>
  <c r="J12" i="21"/>
  <c r="J28" s="1"/>
  <c r="L20" i="4"/>
  <c r="J20"/>
  <c r="J33" s="1"/>
  <c r="O208" i="17"/>
  <c r="N20" i="4" s="1"/>
  <c r="I20"/>
  <c r="I33" s="1"/>
  <c r="F31"/>
  <c r="M20"/>
  <c r="N394" i="17"/>
  <c r="H394"/>
  <c r="K394"/>
  <c r="J394"/>
  <c r="D394"/>
  <c r="D34" i="19"/>
  <c r="I28" i="21"/>
  <c r="L132" i="17"/>
  <c r="L208" s="1"/>
  <c r="M238"/>
  <c r="M239" s="1"/>
  <c r="L25" i="4" s="1"/>
  <c r="H39" i="21"/>
  <c r="H408" i="23" s="1"/>
  <c r="E114" i="17"/>
  <c r="E19" i="4" s="1"/>
  <c r="G114" i="17"/>
  <c r="F19" i="4" s="1"/>
  <c r="G10" i="19" l="1"/>
  <c r="J39" i="21"/>
  <c r="J408" i="23" s="1"/>
  <c r="A70" i="21"/>
  <c r="A26"/>
  <c r="C8" i="19" s="1"/>
  <c r="C10" s="1"/>
  <c r="C34" s="1"/>
  <c r="O394" i="17"/>
  <c r="E394"/>
  <c r="M394"/>
  <c r="K20" i="4"/>
  <c r="L394" i="17"/>
  <c r="G394"/>
  <c r="I39" i="21"/>
  <c r="I408" i="23" s="1"/>
  <c r="F8" i="19"/>
  <c r="F10" s="1"/>
  <c r="E10"/>
  <c r="D12"/>
  <c r="A15"/>
  <c r="A71" i="21" l="1"/>
  <c r="A72" s="1"/>
  <c r="A73" s="1"/>
  <c r="C11" i="19" s="1"/>
  <c r="C12" s="1"/>
  <c r="G12"/>
  <c r="G34"/>
  <c r="E12"/>
  <c r="E34"/>
  <c r="F12"/>
  <c r="F34"/>
  <c r="K11" i="4" l="1"/>
  <c r="L11"/>
  <c r="H11"/>
  <c r="G11"/>
  <c r="E11"/>
  <c r="D11"/>
  <c r="C11"/>
  <c r="N11"/>
  <c r="N33" s="1"/>
  <c r="D33" l="1"/>
  <c r="E33"/>
  <c r="F33"/>
  <c r="C33"/>
  <c r="M33"/>
  <c r="G33"/>
  <c r="H33"/>
  <c r="L33"/>
  <c r="K33"/>
</calcChain>
</file>

<file path=xl/comments1.xml><?xml version="1.0" encoding="utf-8"?>
<comments xmlns="http://schemas.openxmlformats.org/spreadsheetml/2006/main">
  <authors>
    <author>Rabi_TrS</author>
  </authors>
  <commentList>
    <comment ref="B201" authorId="0">
      <text>
        <r>
          <rPr>
            <b/>
            <sz val="9"/>
            <color indexed="81"/>
            <rFont val="Tahoma"/>
            <family val="2"/>
          </rPr>
          <t>Rabi_TrS: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<sst xmlns="http://schemas.openxmlformats.org/spreadsheetml/2006/main" count="2503" uniqueCount="1586">
  <si>
    <t>Male</t>
  </si>
  <si>
    <t>Female</t>
  </si>
  <si>
    <t>Sl. No.</t>
  </si>
  <si>
    <t>Local Government Engineering Department</t>
  </si>
  <si>
    <t>Central Training Unit</t>
  </si>
  <si>
    <t>Name of Project/Unit</t>
  </si>
  <si>
    <t>Course Code</t>
  </si>
  <si>
    <t>Duration (days)</t>
  </si>
  <si>
    <t>Trainee Days</t>
  </si>
  <si>
    <t>Category of Participants</t>
  </si>
  <si>
    <t>TOT</t>
  </si>
  <si>
    <t>Sub-Total</t>
  </si>
  <si>
    <t>Noakhali</t>
  </si>
  <si>
    <t>Project Funded Training:</t>
  </si>
  <si>
    <t>Urban Partnerships for Poverty Reduction Project (UPPRP)</t>
  </si>
  <si>
    <t>QCT-1</t>
  </si>
  <si>
    <t>Achievement</t>
  </si>
  <si>
    <t>Construction Practices and Quality Control</t>
  </si>
  <si>
    <t>WMCA Members</t>
  </si>
  <si>
    <t>PPR</t>
  </si>
  <si>
    <t>Participants</t>
  </si>
  <si>
    <t>Small Scale Water Resources Development Project, (SSWRDP–JICA)</t>
  </si>
  <si>
    <t xml:space="preserve">                                                                                                                                                               </t>
  </si>
  <si>
    <t>LOCAL GOVERNMENT ENGINEERING DEPARTMENT</t>
  </si>
  <si>
    <t>Sunamgonj Community Based Resource Management Project (SCBRMP)</t>
  </si>
  <si>
    <t xml:space="preserve">Participatory Small Scale Water Resources Sector Project (PSSWRSP) </t>
  </si>
  <si>
    <t>Selected WMCA members</t>
  </si>
  <si>
    <t>Market Infrastructure Development Project in Char land Region (MIDPCR)</t>
  </si>
  <si>
    <t>South Western Bangladesh Rural Development Project (SWBRDP)</t>
  </si>
  <si>
    <t>Training under Revenue (GOB) Budget</t>
  </si>
  <si>
    <t>LCS</t>
  </si>
  <si>
    <t>Regional Trg. Centre</t>
  </si>
  <si>
    <t>RERMP</t>
  </si>
  <si>
    <t>UGIIP-II</t>
  </si>
  <si>
    <t>PSSWRSP</t>
  </si>
  <si>
    <t>MIDPCR</t>
  </si>
  <si>
    <t>RIIP-II</t>
  </si>
  <si>
    <t>SCBRMP</t>
  </si>
  <si>
    <t>UPPRP</t>
  </si>
  <si>
    <t>RRMAIDP</t>
  </si>
  <si>
    <t>SSWRDP-JICA</t>
  </si>
  <si>
    <t>Greater Rajshahi Division Integrated Rural Development Project (GRDIRDP)</t>
  </si>
  <si>
    <t>LGED Officials</t>
  </si>
  <si>
    <t>GRDIRDP</t>
  </si>
  <si>
    <t>G&amp;D</t>
  </si>
  <si>
    <t>PSSW-47</t>
  </si>
  <si>
    <t>PSSW-133</t>
  </si>
  <si>
    <t>PSSW-134</t>
  </si>
  <si>
    <t>PSSW-171</t>
  </si>
  <si>
    <t>PSSW-135</t>
  </si>
  <si>
    <t>PSSW-140</t>
  </si>
  <si>
    <t>B.  Planning, Design &amp; Construction Training Courses</t>
  </si>
  <si>
    <t>PSSW-64</t>
  </si>
  <si>
    <t>PSSW-65</t>
  </si>
  <si>
    <t>PSSW-66</t>
  </si>
  <si>
    <t>PSSW-69</t>
  </si>
  <si>
    <t>PSSW-110</t>
  </si>
  <si>
    <t>LCS Members</t>
  </si>
  <si>
    <t>PSSW-111</t>
  </si>
  <si>
    <t>C.  Operation and Maintenance Training Courses</t>
  </si>
  <si>
    <t>PSSW-72</t>
  </si>
  <si>
    <t>PSSW-75</t>
  </si>
  <si>
    <t>PSSW-116</t>
  </si>
  <si>
    <t>PSSW-115</t>
  </si>
  <si>
    <t>PSSW-170</t>
  </si>
  <si>
    <t>D.  Agriculture Training Courses</t>
  </si>
  <si>
    <t>PSSW-84</t>
  </si>
  <si>
    <t>PSSW-146</t>
  </si>
  <si>
    <t>ICM Farmer Field Day</t>
  </si>
  <si>
    <t>PSSW-148</t>
  </si>
  <si>
    <t>PSSW-150</t>
  </si>
  <si>
    <t>PSSW-151</t>
  </si>
  <si>
    <t>E.  Fisheries Training Courses</t>
  </si>
  <si>
    <t xml:space="preserve">F.  Environment Training Courses </t>
  </si>
  <si>
    <t>PSSW-97</t>
  </si>
  <si>
    <t>PSSW-98</t>
  </si>
  <si>
    <t>PSSW-99</t>
  </si>
  <si>
    <t>PSSW-100</t>
  </si>
  <si>
    <t>PSSW-102</t>
  </si>
  <si>
    <t>PSSW-163</t>
  </si>
  <si>
    <t>PSSW-164</t>
  </si>
  <si>
    <t>PSSW-165</t>
  </si>
  <si>
    <t>PSSW-166</t>
  </si>
  <si>
    <t xml:space="preserve">H.  Resettlement Training Courses </t>
  </si>
  <si>
    <t>Sustainable Rural Infrastructure Improvement Project (SRIIP)</t>
  </si>
  <si>
    <t>A.  Orientation and Management</t>
  </si>
  <si>
    <t>Water Management Folk Song and Drama</t>
  </si>
  <si>
    <t>Bi-Monthly Progress Review &amp; Workshop</t>
  </si>
  <si>
    <t>District Workshop on Earthwork Implementation</t>
  </si>
  <si>
    <t>TOT: Training LCSs on Earthwork Methods</t>
  </si>
  <si>
    <t>Earthwork Methods for LCSs</t>
  </si>
  <si>
    <t>Basic Cooperative Management</t>
  </si>
  <si>
    <t>TOT on Micro Credit Management</t>
  </si>
  <si>
    <t>Member Education Program (MEP)</t>
  </si>
  <si>
    <t>Sustainable Agricultural Production</t>
  </si>
  <si>
    <t>Fish Production Technology</t>
  </si>
  <si>
    <t>Fisheries Training for Women</t>
  </si>
  <si>
    <t>WMCA members</t>
  </si>
  <si>
    <t>On-site Fisheries Training</t>
  </si>
  <si>
    <t>Demonstrations (selected packages)</t>
  </si>
  <si>
    <t>Fisheries Exchange visits</t>
  </si>
  <si>
    <t xml:space="preserve">Orientation on Environmental Awareness and Local Resources Management </t>
  </si>
  <si>
    <t>Gender Awareness Training for WMCA Members</t>
  </si>
  <si>
    <t>Income Generating: Ideas and Suggestions</t>
  </si>
  <si>
    <t>WMCA</t>
  </si>
  <si>
    <t xml:space="preserve">G.  Gender and Development Training Courses </t>
  </si>
  <si>
    <t>Participant/batch</t>
  </si>
  <si>
    <t>Total Participants</t>
  </si>
  <si>
    <t>Venue</t>
  </si>
  <si>
    <t>PSSW-80</t>
  </si>
  <si>
    <t>Orientation of WMCA (Upazila Level)</t>
  </si>
  <si>
    <t>UE, UAO, UCO, AE (SSW)</t>
  </si>
  <si>
    <t>Orientation of WMCA (FMC)</t>
  </si>
  <si>
    <t>General Members of WMCAs</t>
  </si>
  <si>
    <t>PSSW-136</t>
  </si>
  <si>
    <t>Management of WMCA Accounts</t>
  </si>
  <si>
    <t>Orientation for By-Laws Drafting</t>
  </si>
  <si>
    <t>PSSW-107</t>
  </si>
  <si>
    <t>Foundation Training on PSSWRSP for CA / Facilitators</t>
  </si>
  <si>
    <t>CAs / Facilitators</t>
  </si>
  <si>
    <t>UP Role in Water Resources Management</t>
  </si>
  <si>
    <t>UP Chairman, Members &amp; Secretary.</t>
  </si>
  <si>
    <t>PSSW-52</t>
  </si>
  <si>
    <t>Institutional Review Workshops</t>
  </si>
  <si>
    <t>Cooperative Management Training for WMCAs of SSW-1 &amp; SSW-2.</t>
  </si>
  <si>
    <t>PSSW-172</t>
  </si>
  <si>
    <t>WMCA Establishment &amp; Cooperative Management</t>
  </si>
  <si>
    <t>WMCAs</t>
  </si>
  <si>
    <t>PSSW-46</t>
  </si>
  <si>
    <t>SN</t>
  </si>
  <si>
    <t>PSSW-70</t>
  </si>
  <si>
    <t>Engineering Survey</t>
  </si>
  <si>
    <t>WMCA &amp; UP Members</t>
  </si>
  <si>
    <t>O&amp;M Training</t>
  </si>
  <si>
    <t>PSSW-83</t>
  </si>
  <si>
    <t>District Level</t>
  </si>
  <si>
    <t>ATI, Dhaka</t>
  </si>
  <si>
    <t>PSSW-153</t>
  </si>
  <si>
    <t>PSSW-87</t>
  </si>
  <si>
    <t>PSSW-159</t>
  </si>
  <si>
    <t>Orientation on Environmental Awareness and Local Resources Management</t>
  </si>
  <si>
    <t>WMCA members and general beneficiaries, including women</t>
  </si>
  <si>
    <t>Gender Awareness Training for Engineers</t>
  </si>
  <si>
    <t>WMCA Site</t>
  </si>
  <si>
    <t>IGA Livelihood Development</t>
  </si>
  <si>
    <t>CO, LGED</t>
  </si>
  <si>
    <t>Trainee-days</t>
  </si>
  <si>
    <t>A.a02</t>
  </si>
  <si>
    <t>Zonal Project Review Workshop</t>
  </si>
  <si>
    <t>A.a04</t>
  </si>
  <si>
    <t xml:space="preserve">Market user and stakeholder workshop </t>
  </si>
  <si>
    <t>A.a06</t>
  </si>
  <si>
    <t>Workshop for women market users</t>
  </si>
  <si>
    <t>A.a11</t>
  </si>
  <si>
    <t>MMC Followup training</t>
  </si>
  <si>
    <t>A.a12</t>
  </si>
  <si>
    <t>MMC exchange visit</t>
  </si>
  <si>
    <t>A.a13</t>
  </si>
  <si>
    <t>Annual review workshop for project staff</t>
  </si>
  <si>
    <t>A.a14</t>
  </si>
  <si>
    <t>Training of LGED's Cos</t>
  </si>
  <si>
    <t>B.a04</t>
  </si>
  <si>
    <t>Training of new farmers groups on social issues</t>
  </si>
  <si>
    <t>Group Location</t>
  </si>
  <si>
    <t>B.a03</t>
  </si>
  <si>
    <t>Planning and Review meeting</t>
  </si>
  <si>
    <t>B.b</t>
  </si>
  <si>
    <t>Beneficiary training for 
new groups</t>
  </si>
  <si>
    <t>B.b06</t>
  </si>
  <si>
    <t>B.c02</t>
  </si>
  <si>
    <t>C. a03</t>
  </si>
  <si>
    <t xml:space="preserve">Annual Review workshop </t>
  </si>
  <si>
    <t>C. a03(a)</t>
  </si>
  <si>
    <t xml:space="preserve">Quterly Review workshop </t>
  </si>
  <si>
    <t>C. a05</t>
  </si>
  <si>
    <t>NGO staff training for market development</t>
  </si>
  <si>
    <t>C.a06</t>
  </si>
  <si>
    <t>Management training</t>
  </si>
  <si>
    <t>C.a07</t>
  </si>
  <si>
    <t xml:space="preserve">Marketing Training </t>
  </si>
  <si>
    <t>C.a08</t>
  </si>
  <si>
    <t xml:space="preserve">Marketing Visti </t>
  </si>
  <si>
    <t>C.a09</t>
  </si>
  <si>
    <t>Market linkage workshops</t>
  </si>
  <si>
    <t>C.a10</t>
  </si>
  <si>
    <t>Marketing Linkages visit</t>
  </si>
  <si>
    <t>Training on Resettlement Framework (RE) and Resettlement Action Plan (RAP)</t>
  </si>
  <si>
    <t>PMU officials, PM,DPD,XENs,Sr.AEs, UEs, AEs SAEs</t>
  </si>
  <si>
    <t>Orientation Workshop on Participation</t>
  </si>
  <si>
    <t>Project Disbursement and Accounts with Computerized Financial Management.</t>
  </si>
  <si>
    <t>Building &amp; Road structure Maintenance</t>
  </si>
  <si>
    <t xml:space="preserve">PMU officials, Sr. AEs, &amp; UEs </t>
  </si>
  <si>
    <t>Specification of works, Work Supervision</t>
  </si>
  <si>
    <t>PM, DPD,XENs Sr. AEs, UEs &amp; SAE</t>
  </si>
  <si>
    <t>TSCM</t>
  </si>
  <si>
    <t>TSIC</t>
  </si>
  <si>
    <t>Training on SIC Activities</t>
  </si>
  <si>
    <t>TMMT</t>
  </si>
  <si>
    <t>WMCA Construction Monitoring</t>
  </si>
  <si>
    <t>Agriculture Resource Management (land, soil, water)</t>
  </si>
  <si>
    <t>Fisheries Program  Management Training 1</t>
  </si>
  <si>
    <t>Annual Fish Production Plan Workshop</t>
  </si>
  <si>
    <t>SUR, SAE</t>
  </si>
  <si>
    <t>FND</t>
  </si>
  <si>
    <t>CON</t>
  </si>
  <si>
    <t>SIC</t>
  </si>
  <si>
    <t>PLS</t>
  </si>
  <si>
    <t>SAE</t>
  </si>
  <si>
    <t>WA</t>
  </si>
  <si>
    <t>Sub Total</t>
  </si>
  <si>
    <t>Add CE, SE, PD, DPD, XEN</t>
  </si>
  <si>
    <t>Sr.AE, UE, AE, UAE</t>
  </si>
  <si>
    <t>ICT room</t>
  </si>
  <si>
    <t>A) Revenue Funded Training:</t>
  </si>
  <si>
    <t>TOT-S</t>
  </si>
  <si>
    <t>A.  Project Orientation Management &amp; WMCA Establishment Management Training Courses</t>
  </si>
  <si>
    <t>Instructors of ATIs</t>
  </si>
  <si>
    <t xml:space="preserve"> </t>
  </si>
  <si>
    <t>Town level</t>
  </si>
  <si>
    <t>TT will select</t>
  </si>
  <si>
    <t>Training for Mentor on Business Development</t>
  </si>
  <si>
    <t>Selected from the community</t>
  </si>
  <si>
    <t>Basic Training for Community Facilitator</t>
  </si>
  <si>
    <t>Allocation (LT)</t>
  </si>
  <si>
    <t xml:space="preserve">Total </t>
  </si>
  <si>
    <t>PRM</t>
  </si>
  <si>
    <t>Income Generating (IG) training for Maintenance crew</t>
  </si>
  <si>
    <t>AE, UAE, UE, SAE, WA</t>
  </si>
  <si>
    <t xml:space="preserve">Union Parishad Management </t>
  </si>
  <si>
    <t>Public Procurement Rules 2008 and Contract Management</t>
  </si>
  <si>
    <t xml:space="preserve">B) </t>
  </si>
  <si>
    <t>ICT and its application</t>
  </si>
  <si>
    <t xml:space="preserve">Contract Management, Technical and Financial Management  </t>
  </si>
  <si>
    <t>Quality Control</t>
  </si>
  <si>
    <t>PMGT</t>
  </si>
  <si>
    <t>Potential MWMCA members</t>
  </si>
  <si>
    <t>SP Level</t>
  </si>
  <si>
    <t>Progress Review Meetings</t>
  </si>
  <si>
    <t>RTC, Mym/Syl/Far</t>
  </si>
  <si>
    <t>District Level Workshop to review and assess subproject institutional, Agricultural, Fisheries and Livestock development activities</t>
  </si>
  <si>
    <t>XEN, DCO, DD(DAE), DFO, DLO, PSO/SSO, UE, UCO, UAO, UFO &amp; ULO</t>
  </si>
  <si>
    <t>Participatory Planning and Design Principles; and Implementation Monitoring of Small Scale Water Resources subprojects</t>
  </si>
  <si>
    <t>XEN, Sr. AE, UE and AE</t>
  </si>
  <si>
    <t>Planning Methods and Design Concepts</t>
  </si>
  <si>
    <t>AEs (PMO), District XEN, AE (LGED), Jr WR Eng</t>
  </si>
  <si>
    <t>Understanding Drawings of Hydraulic Structures, Construction Practices and Quality Control and TOT: Construction Monitoring  Training for WMCAs</t>
  </si>
  <si>
    <t>Jr WRE,CS, UE, IWRMU staff and selected SAEs</t>
  </si>
  <si>
    <t>LCS members</t>
  </si>
  <si>
    <t>WMCA management and UP members</t>
  </si>
  <si>
    <t>Training on WMCA Management</t>
  </si>
  <si>
    <t>FMC, CA and CPO, JrWRE, CS, CO</t>
  </si>
  <si>
    <t>Management of WMCA Accounts &amp; Micro Credit</t>
  </si>
  <si>
    <t>CPO (PMO, District)</t>
  </si>
  <si>
    <t>Member Education Program (MEP) 1</t>
  </si>
  <si>
    <t>Member Education Program (MEP) 2</t>
  </si>
  <si>
    <t>ICM: Farmers Field School</t>
  </si>
  <si>
    <t>Agriculture Training for Women (Demand Led Training)</t>
  </si>
  <si>
    <t>CO, CA, WMCA MC</t>
  </si>
  <si>
    <t>SSWRDP: Fisheries Related Orientation</t>
  </si>
  <si>
    <t>Upazila Fisheries Officers</t>
  </si>
  <si>
    <t>BFRI/ DoF</t>
  </si>
  <si>
    <t>Selected WMCA women members</t>
  </si>
  <si>
    <t>SP Level/BFRI/DoF</t>
  </si>
  <si>
    <t>One model farmer.</t>
  </si>
  <si>
    <t>20 WMCA members</t>
  </si>
  <si>
    <t>Fish Sanctuaries</t>
  </si>
  <si>
    <t>Swamp Tree Plantation</t>
  </si>
  <si>
    <t>Leadership Development, Accounts &amp; Beel Management</t>
  </si>
  <si>
    <t>Orientation on Re-excavation Method</t>
  </si>
  <si>
    <t>CO Auditing System</t>
  </si>
  <si>
    <t xml:space="preserve">Resource Conservation </t>
  </si>
  <si>
    <t xml:space="preserve">Fish Processing &amp; Marketing </t>
  </si>
  <si>
    <t>Project Staff</t>
  </si>
  <si>
    <t>ESCB</t>
  </si>
  <si>
    <t>SRIIP</t>
  </si>
  <si>
    <t>PPT</t>
  </si>
  <si>
    <t>Mayor of PS</t>
  </si>
  <si>
    <t>HQ</t>
  </si>
  <si>
    <t>EST</t>
  </si>
  <si>
    <t>Estimating Course</t>
  </si>
  <si>
    <t>AE of PS</t>
  </si>
  <si>
    <t>SUR</t>
  </si>
  <si>
    <t>Surveying Course</t>
  </si>
  <si>
    <t>DCW</t>
  </si>
  <si>
    <t>TWAT</t>
  </si>
  <si>
    <t>RUMSU</t>
  </si>
  <si>
    <t>BCT</t>
  </si>
  <si>
    <t>PS</t>
  </si>
  <si>
    <t>CRT</t>
  </si>
  <si>
    <t>FST</t>
  </si>
  <si>
    <t>SWS</t>
  </si>
  <si>
    <t>TAS</t>
  </si>
  <si>
    <t>TTS</t>
  </si>
  <si>
    <t>TWS</t>
  </si>
  <si>
    <t>TTL</t>
  </si>
  <si>
    <t>ACAD</t>
  </si>
  <si>
    <t>RDEC</t>
  </si>
  <si>
    <t xml:space="preserve">WMCA members </t>
  </si>
  <si>
    <t>XENs &amp; AEs, AE (Proj.) at LGED Dist.</t>
  </si>
  <si>
    <t xml:space="preserve">TOT for NGO personnel  </t>
  </si>
  <si>
    <t>ACR</t>
  </si>
  <si>
    <t>Trainee-Days</t>
  </si>
  <si>
    <t xml:space="preserve">Remarks </t>
  </si>
  <si>
    <t>If renewed</t>
  </si>
  <si>
    <t>Gender &amp; Development</t>
  </si>
  <si>
    <t>Public Procurement Rules-2008</t>
  </si>
  <si>
    <t>RTC</t>
  </si>
  <si>
    <t>Environment Management Framework (EME) inclusive Environmental Management Plan or Environmental codes of practice (ECP)</t>
  </si>
  <si>
    <t>AEs, Acc. Off, Accountants/ Acc.Asstts</t>
  </si>
  <si>
    <t xml:space="preserve"> RTC</t>
  </si>
  <si>
    <t>Training under Project Fund</t>
  </si>
  <si>
    <t>Grand Total (Revenue +Project)</t>
  </si>
  <si>
    <t>CTU</t>
  </si>
  <si>
    <t>PSSW-103</t>
  </si>
  <si>
    <t>Supervision of Infrastructure Construction</t>
  </si>
  <si>
    <t>OJT-B</t>
  </si>
  <si>
    <t>OJT-R</t>
  </si>
  <si>
    <t>Nos. of Course</t>
  </si>
  <si>
    <t>Expenditure (LT)</t>
  </si>
  <si>
    <t>Quality Control (Soil, aggregate, Compaction)</t>
  </si>
  <si>
    <t>UP chairman, &amp; member, Secretary</t>
  </si>
  <si>
    <t xml:space="preserve">Char Development &amp; Settlement Project-IV (CDSP-IV) </t>
  </si>
  <si>
    <t>Flexible Pavement Construction Technology</t>
  </si>
  <si>
    <t>Concrete technology and Building Works (Supervision and Quality Control)</t>
  </si>
  <si>
    <t>Flexible Pavement Construction Technology  (Supervision and Quality Control)</t>
  </si>
  <si>
    <t>FPC</t>
  </si>
  <si>
    <t>CBW</t>
  </si>
  <si>
    <t>SQC-CBW</t>
  </si>
  <si>
    <t>SQC-FPC</t>
  </si>
  <si>
    <t>CDSP-IV</t>
  </si>
  <si>
    <t>ECRP</t>
  </si>
  <si>
    <t>RDEC/RTCs</t>
  </si>
  <si>
    <t>RDEC/ RTC</t>
  </si>
  <si>
    <t>Rubber Dam Construction Project</t>
  </si>
  <si>
    <t>Formation, Operation &amp; Mangement of WMCA and O&amp;M of Rubber Dam</t>
  </si>
  <si>
    <t>a) Planning Methods</t>
  </si>
  <si>
    <t>LGED</t>
  </si>
  <si>
    <t>Dhaka</t>
  </si>
  <si>
    <t>Training on Promotion of Urban Agriculture</t>
  </si>
  <si>
    <t xml:space="preserve">Effective Office Management </t>
  </si>
  <si>
    <t xml:space="preserve">Rubber Dam </t>
  </si>
  <si>
    <t>PMU officials, PM,DPD,XENsSr.AEs, UEs, AEs, Socio &amp; CO</t>
  </si>
  <si>
    <t xml:space="preserve">PM, DPD, XEN Sr. AE &amp; UEs </t>
  </si>
  <si>
    <t>Quality Control of Construction Works (QCT-1)</t>
  </si>
  <si>
    <t>CO, Fish Faci, AFO/FA WMCA mem. Fish Sub.com.leaders</t>
  </si>
  <si>
    <t>Enhancing Resilience to Disastar and the effect of climate Change Project</t>
  </si>
  <si>
    <t>Orientation Workshop on Project Activities</t>
  </si>
  <si>
    <t>Exchange Visit for Beneficiaries</t>
  </si>
  <si>
    <t xml:space="preserve">Health and Sanitation, Food and Nutrition, Legal Rights, Saving Management, Local Level Planning Implementation </t>
  </si>
  <si>
    <t xml:space="preserve">Beneficiaries </t>
  </si>
  <si>
    <t>Members of User Group</t>
  </si>
  <si>
    <t>Disaster related and Climate Change Orientation</t>
  </si>
  <si>
    <t>Project Personnel</t>
  </si>
  <si>
    <t>Village Level</t>
  </si>
  <si>
    <t>IEB/BUET/PATC</t>
  </si>
  <si>
    <t>CAD</t>
  </si>
  <si>
    <t>Training of Trainers (TOT)</t>
  </si>
  <si>
    <t>Social and Gender Awareness</t>
  </si>
  <si>
    <t>Saving and Credit Management</t>
  </si>
  <si>
    <t>Skill Development for Income Generation</t>
  </si>
  <si>
    <t>Shop Management and Skill Development</t>
  </si>
  <si>
    <t>Gender and Environmental Issues</t>
  </si>
  <si>
    <t>Urban Governance and Infrastructure Improvement Project, Phase II (UGIIP-II)</t>
  </si>
  <si>
    <t xml:space="preserve">City Region Development Project (CRDP) </t>
  </si>
  <si>
    <t xml:space="preserve">Course Title </t>
  </si>
  <si>
    <t>SPS</t>
  </si>
  <si>
    <t>CD</t>
  </si>
  <si>
    <t>Sub Project Selection</t>
  </si>
  <si>
    <t xml:space="preserve">Capacity Development </t>
  </si>
  <si>
    <t>Concrete Technology and Building works</t>
  </si>
  <si>
    <t>Foreign Study Tours (For 12 persons 12 days tour)</t>
  </si>
  <si>
    <t>CRDP</t>
  </si>
  <si>
    <t>Rubber Dam</t>
  </si>
  <si>
    <t xml:space="preserve">Allocation (Lakh Taka) </t>
  </si>
  <si>
    <t>Through NGO</t>
  </si>
  <si>
    <t>SWBRDP</t>
  </si>
  <si>
    <t>TISCM</t>
  </si>
  <si>
    <t>TMBD</t>
  </si>
  <si>
    <t>BTCF</t>
  </si>
  <si>
    <t>Refresher Training for CF</t>
  </si>
  <si>
    <t>RTCF</t>
  </si>
  <si>
    <t>Orientation Workshop to Promote Mainstreaming of Cross-cutting Issues in Urban Poverty Reduction</t>
  </si>
  <si>
    <t>OWUPR</t>
  </si>
  <si>
    <t>TCBDS</t>
  </si>
  <si>
    <t>TPUA</t>
  </si>
  <si>
    <t>TSIF</t>
  </si>
  <si>
    <t>TB</t>
  </si>
  <si>
    <t xml:space="preserve">Team Building </t>
  </si>
  <si>
    <t>EOM</t>
  </si>
  <si>
    <t>Gender and Development Training for LGED and Pourashava staff</t>
  </si>
  <si>
    <t>GDLP</t>
  </si>
  <si>
    <t>Stakeholders Workshop at Town Level</t>
  </si>
  <si>
    <t>SWTL</t>
  </si>
  <si>
    <t>TLGM</t>
  </si>
  <si>
    <t>TWSM</t>
  </si>
  <si>
    <t>UPM</t>
  </si>
  <si>
    <t>Foundation Training</t>
  </si>
  <si>
    <t>OSP</t>
  </si>
  <si>
    <t>OPT</t>
  </si>
  <si>
    <t>TISU</t>
  </si>
  <si>
    <t>TMMC</t>
  </si>
  <si>
    <t>CMFM</t>
  </si>
  <si>
    <t>QC</t>
  </si>
  <si>
    <t>SGA</t>
  </si>
  <si>
    <t>SCM</t>
  </si>
  <si>
    <t>SDIG</t>
  </si>
  <si>
    <t>SMSD</t>
  </si>
  <si>
    <t>G&amp;EI</t>
  </si>
  <si>
    <t xml:space="preserve">Special Training on Credit Management </t>
  </si>
  <si>
    <t>Specialized Training on Vaccination</t>
  </si>
  <si>
    <t>Upazila</t>
  </si>
  <si>
    <t>District</t>
  </si>
  <si>
    <t>Emergency 2007 Cyclone Rehabilitation and Restoration Project (ECRRP)</t>
  </si>
  <si>
    <t xml:space="preserve">Sub Total of CTU </t>
  </si>
  <si>
    <t>Sub Total  of RTC</t>
  </si>
  <si>
    <t>Events / Batches</t>
  </si>
  <si>
    <t xml:space="preserve">Events / Batches </t>
  </si>
  <si>
    <t>BSM</t>
  </si>
  <si>
    <t xml:space="preserve">Business Skill Management </t>
  </si>
  <si>
    <t>Sub-Total Projects</t>
  </si>
  <si>
    <t>Sub-Total Project</t>
  </si>
  <si>
    <t>Grand Total (Rev+Project)</t>
  </si>
  <si>
    <t>On Availability of Fund (Implementation by CTU  at RDEC/RTC)</t>
  </si>
  <si>
    <t>Sub Total (on availability of Fund)</t>
  </si>
  <si>
    <t>On availability of Fund</t>
  </si>
  <si>
    <t>If fund is available from Project / Revenue</t>
  </si>
  <si>
    <t>Unit</t>
  </si>
  <si>
    <t>Expenditure</t>
  </si>
  <si>
    <t xml:space="preserve">Trainee-Days planned </t>
  </si>
  <si>
    <t xml:space="preserve">Trainee-Days achieved </t>
  </si>
  <si>
    <t xml:space="preserve">Participant planned </t>
  </si>
  <si>
    <t xml:space="preserve">Participant achieved </t>
  </si>
  <si>
    <t>Events achieved</t>
  </si>
  <si>
    <t xml:space="preserve">Events planned </t>
  </si>
  <si>
    <t>SSWRDP</t>
  </si>
  <si>
    <t xml:space="preserve">ICT </t>
  </si>
  <si>
    <t>QCT-2</t>
  </si>
  <si>
    <t>Flexible Pavement (BFS, HBB &amp; BC road)</t>
  </si>
  <si>
    <t xml:space="preserve">SIC </t>
  </si>
  <si>
    <t xml:space="preserve"> Plumbing and Sanitary Works</t>
  </si>
  <si>
    <t>PLSW</t>
  </si>
  <si>
    <t>Training of Trainers (Subject Matter)</t>
  </si>
  <si>
    <t>Quality Control (Bitumen, cement, concrete)</t>
  </si>
  <si>
    <t>PAV</t>
  </si>
  <si>
    <t>On the Job (Road Works-Pavement Construction)</t>
  </si>
  <si>
    <t>OJT-Br</t>
  </si>
  <si>
    <t>e-GP</t>
  </si>
  <si>
    <t>Sr.AE, AE,UAE, UE, SAE, WA, Contractor</t>
  </si>
  <si>
    <t>SUMMARY OF  TRAINING PLAN for the  FY : 2013-2014</t>
  </si>
  <si>
    <t>TRAINING PLAN, 2013-14</t>
  </si>
  <si>
    <t>Course Title</t>
  </si>
  <si>
    <t>Expenditure (Lakh Taka)</t>
  </si>
  <si>
    <t>Event/ Batches</t>
  </si>
  <si>
    <t>Participant</t>
  </si>
  <si>
    <t>Duration (Day)</t>
  </si>
  <si>
    <t>No. of events</t>
  </si>
  <si>
    <t>Duration (day)</t>
  </si>
  <si>
    <t>Total in Revenue Budget</t>
  </si>
  <si>
    <t>Training under Development Project Budget</t>
  </si>
  <si>
    <t xml:space="preserve">City Region Development  Project (CRDP) </t>
  </si>
  <si>
    <t>Sub Total CRDP</t>
  </si>
  <si>
    <t>Modular Based Capacity Building &amp; Institutional Development</t>
  </si>
  <si>
    <t xml:space="preserve">Modular Based Capacity Building &amp; Institutional Development </t>
  </si>
  <si>
    <t>Sub Total GRDIRDP</t>
  </si>
  <si>
    <t xml:space="preserve">A) INFRASTRUCTURE DEVELOPMENT </t>
  </si>
  <si>
    <t xml:space="preserve">a. Strengthening Market Management </t>
  </si>
  <si>
    <t>B) PRODUCTION AND MARKET GROUP DEVELOPMENT</t>
  </si>
  <si>
    <t>a Group formation and support</t>
  </si>
  <si>
    <t>c. Support for income generating activities</t>
  </si>
  <si>
    <t>C.) RURAL ENTERPRISE DEVELOPMENT</t>
  </si>
  <si>
    <t>a. Workshops and staff training</t>
  </si>
  <si>
    <t>B. Beneficiary training &amp; workshop</t>
  </si>
  <si>
    <t xml:space="preserve"> Total MIDPCR:</t>
  </si>
  <si>
    <t>PSSW-152</t>
  </si>
  <si>
    <t>PSSW-92</t>
  </si>
  <si>
    <t>Gender Awareness Training</t>
  </si>
  <si>
    <t>H</t>
  </si>
  <si>
    <t>Resettlement</t>
  </si>
  <si>
    <t>PSSW-49</t>
  </si>
  <si>
    <t>Rural Roads &amp; Market Access Infrastructure Development Project (RRMAIDP)</t>
  </si>
  <si>
    <t>Sub-Total RRMAIDP</t>
  </si>
  <si>
    <t>Rural Employment and Road Maintenance Programme (RERMP)</t>
  </si>
  <si>
    <t>IGTMC</t>
  </si>
  <si>
    <t>Secondary Infrastructure Improvement Project (RIIP-2)</t>
  </si>
  <si>
    <t>South West Bangladesh Rural Developemnt Project (SWBRDP)</t>
  </si>
  <si>
    <t>Sub Total SWBRDP</t>
  </si>
  <si>
    <t>Small Scale Water Resources Development Project (SSWRDP- JICA)</t>
  </si>
  <si>
    <t>1. Orientation and Management</t>
  </si>
  <si>
    <t>2. Planning, Design and Construction</t>
  </si>
  <si>
    <t>3. WMCA Establishment/ Management</t>
  </si>
  <si>
    <t>TOT:O&amp;M Training</t>
  </si>
  <si>
    <t>5 Agriculture</t>
  </si>
  <si>
    <t>6. Fisheries</t>
  </si>
  <si>
    <t xml:space="preserve">7. Environment </t>
  </si>
  <si>
    <t>8. Gender and Development</t>
  </si>
  <si>
    <t xml:space="preserve">Handout and others </t>
  </si>
  <si>
    <t>Sunamganj Community Based Resources Management Project (SCBRMP)</t>
  </si>
  <si>
    <t>Resource Conservation</t>
  </si>
  <si>
    <t>Urban Governance &amp; Infrastructure Imrpovement Project, Phase II (UGIIP-2)</t>
  </si>
  <si>
    <t>TOGAP</t>
  </si>
  <si>
    <t>Sub Total UGIIP-2</t>
  </si>
  <si>
    <t>Urban partnership for Poverty Reduction Project (UPPRP)</t>
  </si>
  <si>
    <t>Leadership &amp; Group Management</t>
  </si>
  <si>
    <t>Sub Total UPPR</t>
  </si>
  <si>
    <t>Concrete technology and Building Works</t>
  </si>
  <si>
    <t>RD/T-1</t>
  </si>
  <si>
    <t>RD/T-2</t>
  </si>
  <si>
    <t>RD/T-3</t>
  </si>
  <si>
    <t>RD/T-4</t>
  </si>
  <si>
    <t>RD/T-5</t>
  </si>
  <si>
    <t>RD/T-6</t>
  </si>
  <si>
    <t>RD/T-7</t>
  </si>
  <si>
    <t>RD/T-8</t>
  </si>
  <si>
    <t>WMCA members, UE, UAE, SAE, SoE &amp; CO</t>
  </si>
  <si>
    <t xml:space="preserve">WMCA members, UE, UAE, SAE, SoE, CO </t>
  </si>
  <si>
    <t>LGED Dist. Office, Dinajpur</t>
  </si>
  <si>
    <t>LGED Dist. Office, Bandarban</t>
  </si>
  <si>
    <t>LGED Dist. Lalmonirhat</t>
  </si>
  <si>
    <t>LGED Dist.  Dinajpur</t>
  </si>
  <si>
    <t>LGED Dist.  Chittagong</t>
  </si>
  <si>
    <t>LGED Dist.  Khagrachari</t>
  </si>
  <si>
    <t>LGED Dist.  Moulvibazar</t>
  </si>
  <si>
    <t>LGED,  Dist. Sherpur</t>
  </si>
  <si>
    <t>2</t>
  </si>
  <si>
    <t>Improved Savings and Credit Management</t>
  </si>
  <si>
    <t xml:space="preserve"> Savings &amp; Credit Financial Managemt</t>
  </si>
  <si>
    <t>Mentor on Business Development</t>
  </si>
  <si>
    <t xml:space="preserve"> SIF Contract Management</t>
  </si>
  <si>
    <t>SEF Contract Management</t>
  </si>
  <si>
    <t xml:space="preserve"> Effective Supervision &amp; Management</t>
  </si>
  <si>
    <t xml:space="preserve">CDC/Cluster Boundary Demarkation and Settlement Validation </t>
  </si>
  <si>
    <t>SIF Outcome Survey</t>
  </si>
  <si>
    <t>Training on SIF Contract Managt.</t>
  </si>
  <si>
    <t>Training on SEF Contract Managt.</t>
  </si>
  <si>
    <t xml:space="preserve">Cluster level Action Plan (Re-CAP) </t>
  </si>
  <si>
    <t>Training on Gender &amp; Development</t>
  </si>
  <si>
    <t>Training on Organization Development &amp; Management</t>
  </si>
  <si>
    <t>Training on Social Audit Committees at Cluster level</t>
  </si>
  <si>
    <t>Training on Purchase Committees at CDC and Cluster level</t>
  </si>
  <si>
    <t>Training Cluster exit and Sustainablity</t>
  </si>
  <si>
    <t>Training on Promoting inclusive goverance at town and Strengthening community organization</t>
  </si>
  <si>
    <t>Workshop at town level with LGIs and other stakeholders</t>
  </si>
  <si>
    <t>Review workshop with Mayors</t>
  </si>
  <si>
    <t>Exchange visit (Town to Town)</t>
  </si>
  <si>
    <t xml:space="preserve">ToT on Cluster level CAP and exit </t>
  </si>
  <si>
    <t>Regional workshops for sharing hygiene practices initiatives</t>
  </si>
  <si>
    <t>Workshop on Urban Agriculture</t>
  </si>
  <si>
    <t>Community leaders</t>
  </si>
  <si>
    <t>Com. leaders</t>
  </si>
  <si>
    <t xml:space="preserve">CDC &amp; Cluster </t>
  </si>
  <si>
    <t>CDC leaders, LGIs</t>
  </si>
  <si>
    <t>CF</t>
  </si>
  <si>
    <t>Federation Leaders</t>
  </si>
  <si>
    <t>Cluster leader</t>
  </si>
  <si>
    <t>LGI Rpresentatives</t>
  </si>
  <si>
    <t>LGI &amp; other stakeholders</t>
  </si>
  <si>
    <t>Mayors</t>
  </si>
  <si>
    <t xml:space="preserve">LGI &amp; Community </t>
  </si>
  <si>
    <t>SEE/SEA/SIA</t>
  </si>
  <si>
    <t>LGI, Community and UPPR satff</t>
  </si>
  <si>
    <t>UAE</t>
  </si>
  <si>
    <t xml:space="preserve">Town </t>
  </si>
  <si>
    <t xml:space="preserve">Regional </t>
  </si>
  <si>
    <t>Community level</t>
  </si>
  <si>
    <t>Regional level</t>
  </si>
  <si>
    <t>Central level</t>
  </si>
  <si>
    <t xml:space="preserve">Central </t>
  </si>
  <si>
    <t xml:space="preserve">Quality Control </t>
  </si>
  <si>
    <t>Oct-Dec/13</t>
  </si>
  <si>
    <t>UP Representatives</t>
  </si>
  <si>
    <t>11-12/9/13</t>
  </si>
  <si>
    <t>UP member</t>
  </si>
  <si>
    <t>Sub Total A</t>
  </si>
  <si>
    <t xml:space="preserve">Sub total </t>
  </si>
  <si>
    <t>Jul-Dec/13</t>
  </si>
  <si>
    <t>LGED Dist off (Raj, Nao, Nat, Chai)</t>
  </si>
  <si>
    <t>Jul-Dec 13</t>
  </si>
  <si>
    <t>Vocational Training programme for Beneficiaries</t>
  </si>
  <si>
    <t>UZP/UP Hall, BRDB, ATI, or suitable place</t>
  </si>
  <si>
    <t xml:space="preserve">Quality Control and Price Adjustment </t>
  </si>
  <si>
    <t>Preparation of bid document, bid evaluation and contract award</t>
  </si>
  <si>
    <t>Group Formation &amp; Management</t>
  </si>
  <si>
    <t>Health &amp; Hygiene</t>
  </si>
  <si>
    <t>Foundation course for SAE</t>
  </si>
  <si>
    <t>Function of MMC and Banil Samity</t>
  </si>
  <si>
    <t>GC/RM</t>
  </si>
  <si>
    <t>Total SSW-JICA</t>
  </si>
  <si>
    <t>Large Group
(300-500)</t>
  </si>
  <si>
    <t>District XEN, UE, CPO, Jr WR Eng, CO, CS, WMCA Representative</t>
  </si>
  <si>
    <t>District XEN, UE, CPO, Jr WR Eng, WMCA Representative</t>
  </si>
  <si>
    <t xml:space="preserve">Each 
Quarter
</t>
  </si>
  <si>
    <t>68, 75 &amp; 89</t>
  </si>
  <si>
    <t>July-Dec</t>
  </si>
  <si>
    <t>DCE, BUET</t>
  </si>
  <si>
    <t xml:space="preserve">LGED HQ, RTC, BUET
</t>
  </si>
  <si>
    <t>District XEN, UE, Jr WR Eng, CPO, CS/SAE (Upazila) , CO, CA, WMCA Chairman</t>
  </si>
  <si>
    <t xml:space="preserve">RTC, Mym/Syl/Far and suitable Trining Institute
</t>
  </si>
  <si>
    <t>Nov-Dec</t>
  </si>
  <si>
    <t>26, 27 &amp; 50</t>
  </si>
  <si>
    <t>Aug-Oct</t>
  </si>
  <si>
    <t>UE, AE &amp; Jr WR Eng at district level, selected SAE at Upazila level, CPO, CO, CA.</t>
  </si>
  <si>
    <t xml:space="preserve">RTC, Mym/Syl/Far and suitable Training Institute
</t>
  </si>
  <si>
    <t>December</t>
  </si>
  <si>
    <t>December-January</t>
  </si>
  <si>
    <t xml:space="preserve">District /UZ Level
</t>
  </si>
  <si>
    <t xml:space="preserve">January-April
</t>
  </si>
  <si>
    <t>CZI, Muk/Mou/Far, Gopalganj BPRTC</t>
  </si>
  <si>
    <t>July-April</t>
  </si>
  <si>
    <t>37 &amp; 41</t>
  </si>
  <si>
    <t>WMCA MC Staff: Accountant, Treasurer, Chairman, Secretary</t>
  </si>
  <si>
    <t xml:space="preserve">CZI, Muk/Mou/Far, Gopalganj BPRTC
</t>
  </si>
  <si>
    <t>BARD, RDA</t>
  </si>
  <si>
    <t>Potential members of WMCAs</t>
  </si>
  <si>
    <t>July-June</t>
  </si>
  <si>
    <t>43A</t>
  </si>
  <si>
    <t>General members of WMCAs</t>
  </si>
  <si>
    <t>Construction Monitoring Training for Construction Supervisors/selected SAE</t>
  </si>
  <si>
    <t>Construction Supervisors and SAE</t>
  </si>
  <si>
    <t xml:space="preserve">RTC, Mym/Syl/Far and suitable Training Institutes
</t>
  </si>
  <si>
    <t>Aug-Sept</t>
  </si>
  <si>
    <t>LGED XEN (Training), Jr WR Eng and CPO</t>
  </si>
  <si>
    <t xml:space="preserve">LGED HQ, </t>
  </si>
  <si>
    <t>July-Sept</t>
  </si>
  <si>
    <t>O&amp;M Training for CO &amp; CS</t>
  </si>
  <si>
    <t>Construction Supervisor/CO</t>
  </si>
  <si>
    <t>WMCA:  O&amp;M Training (before hand-over)</t>
  </si>
  <si>
    <t>WMCA MC, O&amp;M Subcommittee members</t>
  </si>
  <si>
    <t>UZ/SP Level</t>
  </si>
  <si>
    <t>July-Mar</t>
  </si>
  <si>
    <t>Selected MWCA members, men and women.</t>
  </si>
  <si>
    <t xml:space="preserve">CERDI, DAE, Gazipur, RDA Bogra
</t>
  </si>
  <si>
    <t>Aug-Dec</t>
  </si>
  <si>
    <t>Selected MWCA women members</t>
  </si>
  <si>
    <t>CERDI/ATI, DAE</t>
  </si>
  <si>
    <t>Sept- Dec</t>
  </si>
  <si>
    <t>Demand-led training on Farm water management</t>
  </si>
  <si>
    <t>DAE Extension workers, CPOs,CS, Ag Facilitators</t>
  </si>
  <si>
    <t xml:space="preserve">CERDI/ATI, DAE
</t>
  </si>
  <si>
    <t>July-January</t>
  </si>
  <si>
    <t>April-June</t>
  </si>
  <si>
    <t>Gender Awareness Training for Field Staff and WMCA Management Committee</t>
  </si>
  <si>
    <t>District/Upazila Level</t>
  </si>
  <si>
    <t>Women members of WMCA</t>
  </si>
  <si>
    <t>Nov-Feb</t>
  </si>
  <si>
    <t>B. Planning, Design and Construction</t>
  </si>
  <si>
    <t>C. WMCA Establishment / Management</t>
  </si>
  <si>
    <t>D. Operation and Maintenance</t>
  </si>
  <si>
    <t>E. Agriculture</t>
  </si>
  <si>
    <t>F. Fisheries</t>
  </si>
  <si>
    <t>G. Environment</t>
  </si>
  <si>
    <t>H. Gender and Development</t>
  </si>
  <si>
    <t>Training on Maintenance Management</t>
  </si>
  <si>
    <t>XEN, UE/UAE, Sr. AE, AE, DPD</t>
  </si>
  <si>
    <t>Orientation on Participatory Training on gender, market, road safety etc.</t>
  </si>
  <si>
    <t>SE, UZP Chairman, UNO, UE/UAE, XEN, AE, DPD, Sr.AE, SAE, CO, Consultant, NGO repre, UP Chairman, Beneficiary</t>
  </si>
  <si>
    <t>Training on Institutional Strengthening for UP Chairman and member</t>
  </si>
  <si>
    <t>Union Chairman, member and Secretary</t>
  </si>
  <si>
    <t>RTC/District</t>
  </si>
  <si>
    <t xml:space="preserve">Programme like rallies, meetings, etc. on health, sanitation, family planning, early marriage, protection against dowry, domestic violence </t>
  </si>
  <si>
    <t>Project beneficiaries</t>
  </si>
  <si>
    <t>TGD</t>
  </si>
  <si>
    <t>TOT on Gender and Development</t>
  </si>
  <si>
    <t>CO</t>
  </si>
  <si>
    <t>AGPOHCW</t>
  </si>
  <si>
    <t>Application on GAP Principles and Occupational Health in Construction Works</t>
  </si>
  <si>
    <t>XEN, DPD, Sr. AE, AE, UE, UAE</t>
  </si>
  <si>
    <t>TPECCA</t>
  </si>
  <si>
    <t xml:space="preserve">Training Programme on Environment and Climate Change Adaptation </t>
  </si>
  <si>
    <t>SE, DPD, XEN, Sr.AE, AE, UE/UAE</t>
  </si>
  <si>
    <t>TPEMCA</t>
  </si>
  <si>
    <t>Training Programme on Environment Management  and Climate Change Adaptation Plan</t>
  </si>
  <si>
    <t xml:space="preserve">Upazila Chairman, UNO, UE, UAE, UP Chairman &amp; NGO representatives </t>
  </si>
  <si>
    <t>1</t>
  </si>
  <si>
    <t>50</t>
  </si>
  <si>
    <t>9</t>
  </si>
  <si>
    <t>450</t>
  </si>
  <si>
    <t>6.30</t>
  </si>
  <si>
    <t>WEMCCA</t>
  </si>
  <si>
    <t>Workshop on Environment Management and Climate Change Adaptation</t>
  </si>
  <si>
    <t>Community Leaders</t>
  </si>
  <si>
    <t>100</t>
  </si>
  <si>
    <t>3</t>
  </si>
  <si>
    <t>300</t>
  </si>
  <si>
    <t>4.20</t>
  </si>
  <si>
    <t>Orientation on SRIIP procedures</t>
  </si>
  <si>
    <t>TAW</t>
  </si>
  <si>
    <t xml:space="preserve">TA 7720 Workshop </t>
  </si>
  <si>
    <t>QARSG</t>
  </si>
  <si>
    <t xml:space="preserve">Quality Assurance, Road Safety, Social Safe Guard &amp; GCM </t>
  </si>
  <si>
    <t>IDWSP</t>
  </si>
  <si>
    <t>Information Dissemination Workshop for SAR Preparation</t>
  </si>
  <si>
    <t>Training for Market Management Committee</t>
  </si>
  <si>
    <t>G. Gender &amp; Development</t>
  </si>
  <si>
    <t>F. Environment Training Courses:</t>
  </si>
  <si>
    <t>E. Fisheries Training Courses:</t>
  </si>
  <si>
    <t>D. Agriculture Training Courses</t>
  </si>
  <si>
    <t xml:space="preserve">C. O&amp;M Training Course </t>
  </si>
  <si>
    <t>B. Planning, Design &amp; Construction Training Courses:</t>
  </si>
  <si>
    <t xml:space="preserve">A. Project Orientation &amp; WMCA Establishment Management  Training Courses: </t>
  </si>
  <si>
    <t>Project Launching Workshop</t>
  </si>
  <si>
    <t>Training on Procurement of Works under RTIP-2</t>
  </si>
  <si>
    <t>Orientation on IDA Safegurds including Social &amp; Environmental Issues under RTIP-2</t>
  </si>
  <si>
    <t>Training on Basic Road Safety</t>
  </si>
  <si>
    <t>Workshop on Transport Safety</t>
  </si>
  <si>
    <t>Rural Transport Improvement Project (RTIP-2)</t>
  </si>
  <si>
    <t>PMU Officials, XENs, AEs and UEs, District Sociologist &amp; Community Organizer</t>
  </si>
  <si>
    <t>LGED HQ/Regional Trg. Centers of LGED</t>
  </si>
  <si>
    <t>July'13-June'14</t>
  </si>
  <si>
    <t>LGED HQ</t>
  </si>
  <si>
    <t>PMU Officials, XENs,  UEs, DSs &amp; COs &amp; SAEs</t>
  </si>
  <si>
    <t>LGED HQ, Dhaka RTC</t>
  </si>
  <si>
    <t>Basic Course on Participation/Skills Development on Participatory approach</t>
  </si>
  <si>
    <t>RTCs &amp; LGED HQ</t>
  </si>
  <si>
    <t>Project Disbursement and Accounts with Computerized Financial Management</t>
  </si>
  <si>
    <t xml:space="preserve">AEs, Accountant/Acct. Assistant </t>
  </si>
  <si>
    <t>Road &amp; Road Structure Maintenance</t>
  </si>
  <si>
    <t xml:space="preserve">All UEs &amp; AE (Mech), PMU </t>
  </si>
  <si>
    <t>Laboratory Testing of Construction Materials</t>
  </si>
  <si>
    <t>AEs, All UEs &amp;  Lab. Tech</t>
  </si>
  <si>
    <t>AEs/UEs/AREs/Sociologists</t>
  </si>
  <si>
    <t>LGED/
MSC/D &amp; SC</t>
  </si>
  <si>
    <t>PMU Officials/
UNO/UE/UP/XEN/AE/BRTA/BIWTA/Police</t>
  </si>
  <si>
    <t>LGED/
MSC/D &amp; SC/WB</t>
  </si>
  <si>
    <t>Training of Contractors</t>
  </si>
  <si>
    <t>Contractors</t>
  </si>
  <si>
    <t>RTCs &amp; 
Dist. Offices</t>
  </si>
  <si>
    <t>Specification of Works, Work Supervision</t>
  </si>
  <si>
    <t>XENs/AEs/
UEs</t>
  </si>
  <si>
    <t>Training on Procurement of Works</t>
  </si>
  <si>
    <t>Concerned Officials 
&amp; Persons</t>
  </si>
  <si>
    <t>Planning Workshop at Market/Ghat</t>
  </si>
  <si>
    <t>MMC, GMC, 
Market Users</t>
  </si>
  <si>
    <t>All Market
/Ghat of 26 Districts</t>
  </si>
  <si>
    <t>AEs/
UEs/COs</t>
  </si>
  <si>
    <t>18/07/13 to 21/06/14</t>
  </si>
  <si>
    <t>XEN, AE of PS</t>
  </si>
  <si>
    <t>02/09/13 to 05/06/14</t>
  </si>
  <si>
    <t>SAE, WA of PS</t>
  </si>
  <si>
    <t>05/06/13 to 06/06/14</t>
  </si>
  <si>
    <t>02/10/13 to 13/06/14</t>
  </si>
  <si>
    <t>Quality Control of Construction Works (QCT-2)</t>
  </si>
  <si>
    <t>02/07/13 to 13/06/14</t>
  </si>
  <si>
    <t>09/09/13 to 23/06/14</t>
  </si>
  <si>
    <t>Design of Construction Works</t>
  </si>
  <si>
    <t>AE, SAE</t>
  </si>
  <si>
    <t>16/10/13 to 30/06/14</t>
  </si>
  <si>
    <t>TOT Course for DD, AD, Consultants of MSU and BMDF personal</t>
  </si>
  <si>
    <t>DD, AD, Consultants of MSU and BMDF personnel</t>
  </si>
  <si>
    <t>10/09/13 to 25/06/14</t>
  </si>
  <si>
    <t>Refresher Trg. on Tax, Water, Accounts &amp; Trade license for PS staff</t>
  </si>
  <si>
    <t>PS staff</t>
  </si>
  <si>
    <t>04/08/13 to 23/06/14</t>
  </si>
  <si>
    <t>Refresher Trg. on Tax, Water, Accounts &amp; Trade license section staff including data entry cost</t>
  </si>
  <si>
    <t>07/08/13 to 29/06/14</t>
  </si>
  <si>
    <t>Basic Computer Trg. for Engineering section staff</t>
  </si>
  <si>
    <t>07/08/13 to 29/02/14</t>
  </si>
  <si>
    <t xml:space="preserve">Trg. for Engineering section staff </t>
  </si>
  <si>
    <t>07/08/13 to 21/06/14</t>
  </si>
  <si>
    <t>Field Survey of Data Collection for training</t>
  </si>
  <si>
    <t>Senitation workshop for community of ULB</t>
  </si>
  <si>
    <t>23/08/13 to 29/06/14</t>
  </si>
  <si>
    <t>Accounting Software Management forn Pourashava Software</t>
  </si>
  <si>
    <t>14/08/13 to 29/06/14</t>
  </si>
  <si>
    <t>Tax Software Management for PS</t>
  </si>
  <si>
    <t>Water Software Management for PS</t>
  </si>
  <si>
    <t>04/09/13 to 29/06/14</t>
  </si>
  <si>
    <t>Trade License Software Management for PS</t>
  </si>
  <si>
    <t>11/09/13 to 05/05/14</t>
  </si>
  <si>
    <t>Auto Cad Trg. for the Engineering Section Staff of PS</t>
  </si>
  <si>
    <t>27/11/13 to 14/05/14</t>
  </si>
  <si>
    <t>Flexible Pavement Construction</t>
  </si>
  <si>
    <t>09/11/13 to 14/05/14</t>
  </si>
  <si>
    <t>Municipal Governance Services  Project (MGSP)</t>
  </si>
  <si>
    <t>Orientation for Mayors on the project</t>
  </si>
  <si>
    <t xml:space="preserve">  Mayor </t>
  </si>
  <si>
    <t>10/07/13-15/06/14</t>
  </si>
  <si>
    <t xml:space="preserve">Orientation Training for Councilors for each Region on the project </t>
  </si>
  <si>
    <t>All councilors</t>
  </si>
  <si>
    <t>Region</t>
  </si>
  <si>
    <t>25/07/13-09/07/14</t>
  </si>
  <si>
    <t>Orientation Training for AE Secretary on the project</t>
  </si>
  <si>
    <t>Secretary,AE</t>
  </si>
  <si>
    <t>02/09/13-05/09/14</t>
  </si>
  <si>
    <t>Orientation for Pourashava officials on administration and office management</t>
  </si>
  <si>
    <t>Secretary,AE,SDO</t>
  </si>
  <si>
    <t>05/06/13-07/06/14</t>
  </si>
  <si>
    <t>Orientation on accounts,trade,tax and water billing updated software</t>
  </si>
  <si>
    <t xml:space="preserve">Assistant Director in charge of finance of UMSU,consultants in charge of finance </t>
  </si>
  <si>
    <t>02/10/13/-13/06/14</t>
  </si>
  <si>
    <t>Orientation for consultants on the project</t>
  </si>
  <si>
    <t>all consultant</t>
  </si>
  <si>
    <t>09/09/13-23/06/14</t>
  </si>
  <si>
    <t>Orientation for WLCC secretary on organization WLCC Meeting</t>
  </si>
  <si>
    <t>Secretary of WLCC</t>
  </si>
  <si>
    <t>10/10/13-20/06/14</t>
  </si>
  <si>
    <t>Orientation onroles and responsibilities of CBO members</t>
  </si>
  <si>
    <t>Presidant, Secretary and Casher of CBO</t>
  </si>
  <si>
    <t>10/09/13-20/06/14</t>
  </si>
  <si>
    <t>Training for Pourashava staff on participants tools</t>
  </si>
  <si>
    <t>Secretary</t>
  </si>
  <si>
    <t>14/08/13-20/06/14</t>
  </si>
  <si>
    <t>Orientation on PDP preparation</t>
  </si>
  <si>
    <t>Town Planner, Facilitator (UP)</t>
  </si>
  <si>
    <t>07/09/13-29-06/14</t>
  </si>
  <si>
    <t>Training on Infrastructure database and base map preparation</t>
  </si>
  <si>
    <t>AE, SAE, Surveyor, Estimators</t>
  </si>
  <si>
    <t>17/08/13-29/06/14</t>
  </si>
  <si>
    <t>Orientation for relevent officials on preparation of GAP</t>
  </si>
  <si>
    <t>Secretary, relevant officials</t>
  </si>
  <si>
    <t>17/08/13-15/06/14</t>
  </si>
  <si>
    <t>Orientation for relevent officials on preparation of PRAP</t>
  </si>
  <si>
    <t>Secretary, AE, SDO,CFW</t>
  </si>
  <si>
    <t>06/07/13-09/06/14</t>
  </si>
  <si>
    <t>Training for Pourashava staff on conducting tax assessment and collection</t>
  </si>
  <si>
    <t>Accounts officer, Accountant and Assistant Accountant</t>
  </si>
  <si>
    <t>15/07/13-13/06/14</t>
  </si>
  <si>
    <t xml:space="preserve">Training on basic design and cost estimation </t>
  </si>
  <si>
    <t>AE, SAE (civil electrical water), Work Assistant</t>
  </si>
  <si>
    <t>15/08/13-04/06/14</t>
  </si>
  <si>
    <t>Training on planning of drainage system</t>
  </si>
  <si>
    <t xml:space="preserve">AE, SAE (civil) </t>
  </si>
  <si>
    <t>05/07/13-25/06/14</t>
  </si>
  <si>
    <t>Contactor</t>
  </si>
  <si>
    <t>July'13 - Oct'14</t>
  </si>
  <si>
    <t>Village</t>
  </si>
  <si>
    <t>BUG members</t>
  </si>
  <si>
    <t>Upazila Level</t>
  </si>
  <si>
    <t>Farmers</t>
  </si>
  <si>
    <t>Seed Producer</t>
  </si>
  <si>
    <t>Progressive Farmers</t>
  </si>
  <si>
    <t>Advance farmer</t>
  </si>
  <si>
    <t>Farmer</t>
  </si>
  <si>
    <t>CIG/BUG member</t>
  </si>
  <si>
    <t>CIG/BUG women member</t>
  </si>
  <si>
    <t>DLC, DTC,SO Crop, SO Live stock &amp; PMU Staff</t>
  </si>
  <si>
    <t xml:space="preserve">GOB &amp; Project Staff </t>
  </si>
  <si>
    <t xml:space="preserve">Dates </t>
  </si>
  <si>
    <t>Training on Quality control of Infrastructure</t>
  </si>
  <si>
    <t>Training on PPR</t>
  </si>
  <si>
    <t>LCS Trg. On Management issues</t>
  </si>
  <si>
    <t xml:space="preserve">Trg. On Technical issues </t>
  </si>
  <si>
    <t>Access to right of Fisheries in Water body (Beel) resources and role of different organization in Community Based Beel Mgt</t>
  </si>
  <si>
    <t>Swamp tree Nursery and  Plantation</t>
  </si>
  <si>
    <t>Resource  Conservation and Fish Sanctuary management</t>
  </si>
  <si>
    <t>Leadership Development, Accounting and Book keeping in Beel Management</t>
  </si>
  <si>
    <t>Exposure Visit</t>
  </si>
  <si>
    <t>LCS Training</t>
  </si>
  <si>
    <t>Trg. On demo farmer</t>
  </si>
  <si>
    <t>Trg. On seed farmer</t>
  </si>
  <si>
    <t>Trg. On prog. farmer</t>
  </si>
  <si>
    <t>Trg. On improved  farm management</t>
  </si>
  <si>
    <t>Trg. On improved poultry &amp; livestock management</t>
  </si>
  <si>
    <t>Trg. On sonali chick &amp; duckling mini hatchery</t>
  </si>
  <si>
    <t>Trg. On vaccination</t>
  </si>
  <si>
    <t xml:space="preserve">Trg. On commercial fodder </t>
  </si>
  <si>
    <t>Training on Cage Culture</t>
  </si>
  <si>
    <t>Training on Pan Culture</t>
  </si>
  <si>
    <t>Training on Fish Processing  /dry fish production</t>
  </si>
  <si>
    <t>Training on Fingerling Production</t>
  </si>
  <si>
    <t>Habitat restoration and Conservation of Fish</t>
  </si>
  <si>
    <t>Training on Vegetable Guarding by Woman member of BUG &amp; CIG</t>
  </si>
  <si>
    <t>Training on Participatory Fish Harvest, post Harvest Management and Marketing</t>
  </si>
  <si>
    <t>Exchange Visit for cage and pan Fisheries and dried fish Production</t>
  </si>
  <si>
    <t>Value Chain</t>
  </si>
  <si>
    <t>Construction, Management,
 supervision</t>
  </si>
  <si>
    <t>Gender Training</t>
  </si>
  <si>
    <t>M &amp; E Trg</t>
  </si>
  <si>
    <t>Financial Management</t>
  </si>
  <si>
    <t>Open water fisheries Management</t>
  </si>
  <si>
    <t>Induction Trag.</t>
  </si>
  <si>
    <t>EGP</t>
  </si>
  <si>
    <t xml:space="preserve">Administration &amp; Management </t>
  </si>
  <si>
    <t>Technical/Engineering</t>
  </si>
  <si>
    <t>Finance, Accounts and Audit</t>
  </si>
  <si>
    <t>Haor Infrastructure and Livelihood Improvement Project (HILIP)</t>
  </si>
  <si>
    <t>Computer Based Training/ICT</t>
  </si>
  <si>
    <t>ACR Writing incl. Office Management</t>
  </si>
  <si>
    <t>BCM</t>
  </si>
  <si>
    <t xml:space="preserve">XEN(R), UE &amp; UAE </t>
  </si>
  <si>
    <t>Improved Saving and Credit Management</t>
  </si>
  <si>
    <t xml:space="preserve">Revised Allocation </t>
  </si>
  <si>
    <t>Scheme Implementation for new LCS</t>
  </si>
  <si>
    <t>Scheme Preparation for  old LCS group</t>
  </si>
  <si>
    <t>Income Generation Activities (IGA) for LCS</t>
  </si>
  <si>
    <t xml:space="preserve">Functional Literacy Training for LCS women </t>
  </si>
  <si>
    <t xml:space="preserve">TOT on Functional Literacy for Animators </t>
  </si>
  <si>
    <t>UP Development Planning Training</t>
  </si>
  <si>
    <t>Scheme Implementation Training for SIC</t>
  </si>
  <si>
    <t>Scheme Supervision Training for SSC</t>
  </si>
  <si>
    <t>Use of Cold Emulsion Training for LCS</t>
  </si>
  <si>
    <t>Annual  middle and long term planning i/c core network identification</t>
  </si>
  <si>
    <t>Road safety awareness</t>
  </si>
  <si>
    <t xml:space="preserve">Orientation on SHE Software </t>
  </si>
  <si>
    <t>Orientation  for BKB Staff</t>
  </si>
  <si>
    <t>Stuff Development Workshop</t>
  </si>
  <si>
    <t>1 &amp; 6</t>
  </si>
  <si>
    <t>Swamp Tree Nursery</t>
  </si>
  <si>
    <t xml:space="preserve">Open water Fisheries Management
</t>
  </si>
  <si>
    <t>Field Based Training/Orientation &amp; Lesson Sharing on good prectice</t>
  </si>
  <si>
    <t>Re-excavation Method LCS Member</t>
  </si>
  <si>
    <t>Refreshers BUG Auditors Training</t>
  </si>
  <si>
    <t>Exchange Visit for BUG Member</t>
  </si>
  <si>
    <t>Case Fish Culture</t>
  </si>
  <si>
    <t>LCS Formation &amp; Practice</t>
  </si>
  <si>
    <t xml:space="preserve">ACR Writing incl. Office Management </t>
  </si>
  <si>
    <t>Training of Trainers' TOT</t>
  </si>
  <si>
    <t>Training of Trainers' (Special)</t>
  </si>
  <si>
    <t>Public Procurement Regulations (PPR)</t>
  </si>
  <si>
    <t>Quality Control (Soil. Aggregates) QCT-1</t>
  </si>
  <si>
    <t>Quality Control (Bitumen, Cement, Concrete), QCT-2</t>
  </si>
  <si>
    <t xml:space="preserve">Quality Control Refresher Course </t>
  </si>
  <si>
    <t xml:space="preserve">Bridge Planning and Construction Management </t>
  </si>
  <si>
    <t xml:space="preserve">Bridge Construction Management </t>
  </si>
  <si>
    <t>On-the job Training (Road Works)</t>
  </si>
  <si>
    <t xml:space="preserve">Concrete Technology and Building Works </t>
  </si>
  <si>
    <t xml:space="preserve">Sub total CTU </t>
  </si>
  <si>
    <t>Sub total RTC</t>
  </si>
  <si>
    <r>
      <t xml:space="preserve">OJT on Building Works </t>
    </r>
    <r>
      <rPr>
        <sz val="10"/>
        <color rgb="FFFF0000"/>
        <rFont val="Arial"/>
        <family val="2"/>
      </rPr>
      <t>(Funding from PEDP-3)</t>
    </r>
  </si>
  <si>
    <r>
      <t xml:space="preserve">Foundation Training for SAE </t>
    </r>
    <r>
      <rPr>
        <sz val="10"/>
        <color rgb="FFFF0000"/>
        <rFont val="Arial"/>
        <family val="2"/>
      </rPr>
      <t>(4 course by SRIIP) at ESCB</t>
    </r>
  </si>
  <si>
    <t xml:space="preserve">Concrete and Building works </t>
  </si>
  <si>
    <t xml:space="preserve">E procurement </t>
  </si>
  <si>
    <t>BUG Member</t>
  </si>
  <si>
    <t>PMU</t>
  </si>
  <si>
    <t>August-Sep.'13-</t>
  </si>
  <si>
    <t>Sep.-Oct.'13-</t>
  </si>
  <si>
    <t>Nov.-Dec.'13</t>
  </si>
  <si>
    <t>Orientation &amp; Lesson Sharing on good practice</t>
  </si>
  <si>
    <t>Field 
Based</t>
  </si>
  <si>
    <t>Feb.-April'14</t>
  </si>
  <si>
    <t>Re-exavation Method</t>
  </si>
  <si>
    <t>LCS Member</t>
  </si>
  <si>
    <t xml:space="preserve">Specialized training on Vaccination </t>
  </si>
  <si>
    <t>CO Member</t>
  </si>
  <si>
    <t>Nov.'13-Feb.'14</t>
  </si>
  <si>
    <t>QCT-R</t>
  </si>
  <si>
    <t>BPCM</t>
  </si>
  <si>
    <t>FND-S</t>
  </si>
  <si>
    <t>ICT</t>
  </si>
  <si>
    <t>OJT on Surveying using Total Station</t>
  </si>
  <si>
    <t>Earthen Road Construction and Quality Control</t>
  </si>
  <si>
    <t xml:space="preserve">LCS training </t>
  </si>
  <si>
    <t>Skill Development training on Second Trade</t>
  </si>
  <si>
    <t>10 &amp; 45</t>
  </si>
  <si>
    <t>Sub Total Resilience</t>
  </si>
  <si>
    <t>Sub Total (Revenue Budget)</t>
  </si>
  <si>
    <t>Sub Total Development Budget)</t>
  </si>
  <si>
    <t>Set/13</t>
  </si>
  <si>
    <t>4 project district</t>
  </si>
  <si>
    <t>July/13-Jun/14</t>
  </si>
  <si>
    <t>July/13-Dec/13</t>
  </si>
  <si>
    <t>Workshop on LCS</t>
  </si>
  <si>
    <t>LCS-W</t>
  </si>
  <si>
    <t>LCS-T</t>
  </si>
  <si>
    <t>UP-T</t>
  </si>
  <si>
    <t>Project Area</t>
  </si>
  <si>
    <t>Social Impact Management Framework (SIMF) and Resettelement Action Plan (RAP) including Social Screening and joint inventiry survey for LA.</t>
  </si>
  <si>
    <t xml:space="preserve">Environmental Management Framework (EMF) inclusive Environmental Management Plan or Environmental Codes of Practice (ECP)   </t>
  </si>
  <si>
    <t xml:space="preserve">Socio-Economic Monitoring &amp; Evaluation &amp; Socio-Economic Data Collection </t>
  </si>
  <si>
    <t>Jan/14</t>
  </si>
  <si>
    <t>Dec/ 13</t>
  </si>
  <si>
    <t xml:space="preserve">Sept-Dec/ 13 </t>
  </si>
  <si>
    <t xml:space="preserve">Mar/14 </t>
  </si>
  <si>
    <t>Oct/13</t>
  </si>
  <si>
    <t>Feb/ 14</t>
  </si>
  <si>
    <t>Apr/14</t>
  </si>
  <si>
    <t>Mar/14</t>
  </si>
  <si>
    <t>May/14</t>
  </si>
  <si>
    <t xml:space="preserve">Jul/13-Jun14
</t>
  </si>
  <si>
    <t>Technical Training</t>
  </si>
  <si>
    <t>TU</t>
  </si>
  <si>
    <t>CDSP</t>
  </si>
  <si>
    <t>ECRRP</t>
  </si>
  <si>
    <t>Enhancing</t>
  </si>
  <si>
    <t>HILIP</t>
  </si>
  <si>
    <t xml:space="preserve">Orientation Workshop of  Mayor, XEN/AE &amp; Secretory. </t>
  </si>
  <si>
    <t>Training Program on GAP Activities</t>
  </si>
  <si>
    <t>Training Program on PRAP Activities</t>
  </si>
  <si>
    <t>Training on Community Mobilization</t>
  </si>
  <si>
    <t xml:space="preserve">Workshop on Implementation Procedure and Quality Control of Infrastructures </t>
  </si>
  <si>
    <t>TOT on IEC Materials</t>
  </si>
  <si>
    <t>Orientation on TLCC Guideline and Effective Meeting Management for Senior PS Officials</t>
  </si>
  <si>
    <t>Orientation on IEC Materials</t>
  </si>
  <si>
    <t>Training Program on SIC Activities</t>
  </si>
  <si>
    <t>TO GAP</t>
  </si>
  <si>
    <t xml:space="preserve">TO GAP </t>
  </si>
  <si>
    <t xml:space="preserve"> OTG </t>
  </si>
  <si>
    <t>OIM</t>
  </si>
  <si>
    <t>OW</t>
  </si>
  <si>
    <t>Ow</t>
  </si>
  <si>
    <t>TO PRAP</t>
  </si>
  <si>
    <t>TCM</t>
  </si>
  <si>
    <t>WIPQC</t>
  </si>
  <si>
    <t>TIM</t>
  </si>
  <si>
    <t xml:space="preserve"> OTG</t>
  </si>
  <si>
    <t>TOSIC</t>
  </si>
  <si>
    <t xml:space="preserve">OW                                </t>
  </si>
  <si>
    <t>Pourashava concerned Staff</t>
  </si>
  <si>
    <t>August,2013</t>
  </si>
  <si>
    <t xml:space="preserve">TO GAP            </t>
  </si>
  <si>
    <t>Pourashava/RTC</t>
  </si>
  <si>
    <t>July,2013-Feb, 2014</t>
  </si>
  <si>
    <t xml:space="preserve">TO PRAP            </t>
  </si>
  <si>
    <t>Sep,2013</t>
  </si>
  <si>
    <t xml:space="preserve">TCM 5-6   </t>
  </si>
  <si>
    <t>October,2013</t>
  </si>
  <si>
    <t xml:space="preserve">WIPQC               </t>
  </si>
  <si>
    <t>Nov,2013</t>
  </si>
  <si>
    <t xml:space="preserve">TIM 19-20     </t>
  </si>
  <si>
    <t>Dec,2013</t>
  </si>
  <si>
    <t>Jan,2014</t>
  </si>
  <si>
    <t>Mar,2014</t>
  </si>
  <si>
    <t>TOHL</t>
  </si>
  <si>
    <t>Training on Horizontal Learning</t>
  </si>
  <si>
    <t>RIIP-2</t>
  </si>
  <si>
    <t>RTIP-2</t>
  </si>
  <si>
    <t>District,Upazila, SP and venues of partner agencies (DoC)</t>
  </si>
  <si>
    <t>Aug13-Apr14</t>
  </si>
  <si>
    <t>PSSW-132</t>
  </si>
  <si>
    <t>MC members</t>
  </si>
  <si>
    <t>PSSW-122</t>
  </si>
  <si>
    <t>FMC, CA, GF</t>
  </si>
  <si>
    <t>PSSW-130</t>
  </si>
  <si>
    <t>Accountant of WMCAs</t>
  </si>
  <si>
    <t>PSSW-126</t>
  </si>
  <si>
    <t>OC members</t>
  </si>
  <si>
    <t>PSSW-57</t>
  </si>
  <si>
    <t>Foundation Course for COs</t>
  </si>
  <si>
    <t>PSSW-125</t>
  </si>
  <si>
    <t>Micro Credit Management</t>
  </si>
  <si>
    <t xml:space="preserve">WMCA Credit sub committee </t>
  </si>
  <si>
    <t>Abroad</t>
  </si>
  <si>
    <t xml:space="preserve">AE , UE and SAE District and UZ &amp; SAE (Proj.) </t>
  </si>
  <si>
    <t>RDEC Bhaban</t>
  </si>
  <si>
    <t>Understanding Drawings of Hydraulic Structure</t>
  </si>
  <si>
    <t>SAEs of Upazilas</t>
  </si>
  <si>
    <t>TOT:  LCS Training on Earthwork Methods</t>
  </si>
  <si>
    <t>UE &amp; SAE</t>
  </si>
  <si>
    <t xml:space="preserve"> SAE and Surveyor</t>
  </si>
  <si>
    <t>Earthwork Method for LCS</t>
  </si>
  <si>
    <t>PSSW-111 &amp; 117</t>
  </si>
  <si>
    <t>Construction Monitoring for WMCAs</t>
  </si>
  <si>
    <t>RDEC/Upazila</t>
  </si>
  <si>
    <t>STAAD.Pro Training</t>
  </si>
  <si>
    <t xml:space="preserve">TOT </t>
  </si>
  <si>
    <t>Training of Trainers Course (TOT)</t>
  </si>
  <si>
    <t>PMO &amp; LGED  Officials</t>
  </si>
  <si>
    <t>AutoCAD Training</t>
  </si>
  <si>
    <t>Sub-Total-B.</t>
  </si>
  <si>
    <t>O&amp;M Training for Asst. UE &amp; UEs</t>
  </si>
  <si>
    <t>Asst. UE &amp; UEs</t>
  </si>
  <si>
    <t>O&amp;M Training for Upazila SAE &amp; CO</t>
  </si>
  <si>
    <t>Upazila SAE, Cos &amp; SAE</t>
  </si>
  <si>
    <t>Region/Dist.</t>
  </si>
  <si>
    <t>O&amp;M Training for WMCA Members</t>
  </si>
  <si>
    <t>WMCA Executive Committee &amp; O&amp;M Sub-Com. Members</t>
  </si>
  <si>
    <t>Ongoing Subproject</t>
  </si>
  <si>
    <t>TOT on Sustainable Agriculture Production</t>
  </si>
  <si>
    <t>Aug13-May14</t>
  </si>
  <si>
    <t>PSSW-145</t>
  </si>
  <si>
    <t>Demand Led Training (Farm water Management,Seed processing and Value Chain Mgt)</t>
  </si>
  <si>
    <t>Selected WMCA Members</t>
  </si>
  <si>
    <t>RDA, ATI, and SP Level</t>
  </si>
  <si>
    <t>PSSW-147</t>
  </si>
  <si>
    <t>Women's on farm IGAs</t>
  </si>
  <si>
    <t>Sustainable Agriculture Production</t>
  </si>
  <si>
    <t>ATIs</t>
  </si>
  <si>
    <t>Agriculture Resource Management</t>
  </si>
  <si>
    <t>SP Agriculture Production Plan Preparation</t>
  </si>
  <si>
    <t>Demonstration and Field day</t>
  </si>
  <si>
    <t>All WMCA members</t>
  </si>
  <si>
    <t>SP Land Use Plan &amp;  Map Preparation</t>
  </si>
  <si>
    <t>PSSW-85, 86,87,88,89,160(Six topics merged)</t>
  </si>
  <si>
    <t>PSSWRSP Fisheries Program mgt Training (Natural and Culture</t>
  </si>
  <si>
    <t>YTC, Savar, Dhaka &amp;FSMF,DOF, Norshindi</t>
  </si>
  <si>
    <t>July13-June14</t>
  </si>
  <si>
    <t>PSSW-156 ,157,158,161,162,163 &amp;174 (Merged 7 topics)</t>
  </si>
  <si>
    <t>Demonstrations Selected Project Packages and Training on Fish Culture Technique incl. (Natural and Culture) &amp; Demonstration Selected Package (incl. Sanctuary and Mitigation)</t>
  </si>
  <si>
    <t>FSMF,DOF, norshindi &amp;YTC, Savar, Dhaka</t>
  </si>
  <si>
    <t>Training in Fisheries Extension Support for Fish Production (about 50% time to be on Natural Fisheries Aspect)</t>
  </si>
  <si>
    <t>Real Fishermen and Dependent Subsistence Fishers, Community Fisheries Extension Agent (Selected WMCA members)</t>
  </si>
  <si>
    <t>Preparation and Monitoring of Environmental Mitigation Plan (EMP)</t>
  </si>
  <si>
    <t xml:space="preserve">Field Engr. Socio Economist,CO, CA Mem. of WMCA / MC,  </t>
  </si>
  <si>
    <t>PSSW-93</t>
  </si>
  <si>
    <t>a) Environmental Laboratory and Water Quality Testing: Course-1</t>
  </si>
  <si>
    <t>Selected LGED Lab Technicians, Lab Asstt. &amp; Agri/Fish Faci.</t>
  </si>
  <si>
    <t>PSSW-167</t>
  </si>
  <si>
    <t>Field Level (WMCA office)</t>
  </si>
  <si>
    <t>PSSW-168</t>
  </si>
  <si>
    <t>TOT on Environmental Issues, Impact &amp; Management</t>
  </si>
  <si>
    <t xml:space="preserve">Asstt. Engr, UE, Sr. Sociologist, Socio Eco,Selected WMCA Chairman/Secretary/Women members </t>
  </si>
  <si>
    <t>Asstt.Engr/UE</t>
  </si>
  <si>
    <t>District XEN Office</t>
  </si>
  <si>
    <t>Gender Awareness Training for DWA and others</t>
  </si>
  <si>
    <t xml:space="preserve">Dist.Women affairs and others </t>
  </si>
  <si>
    <t>District /Division</t>
  </si>
  <si>
    <t>Agriculture, Fisheries &amp; General Facilitator, O&amp;M Facilitator and CO/CA</t>
  </si>
  <si>
    <t xml:space="preserve"> Female Members of WMCA</t>
  </si>
  <si>
    <t>Male and Female Members of WMcA</t>
  </si>
  <si>
    <t>Women's Day 2014 Celebration and Foundation Training</t>
  </si>
  <si>
    <t>WMCA members,LGED Staff and other stakeholders</t>
  </si>
  <si>
    <t>PSSW- 49</t>
  </si>
  <si>
    <t>Why Resettlement ? Theory &amp; Practical of Resettlement</t>
  </si>
  <si>
    <t>XEN, LGED</t>
  </si>
  <si>
    <t>Training on Resettlement Planning &amp; Implementation</t>
  </si>
  <si>
    <t>Sr. AE, UE, LGED</t>
  </si>
  <si>
    <t>Orientation on Resettlement</t>
  </si>
  <si>
    <t>Training on Land Acquisition</t>
  </si>
  <si>
    <t>Sr. Sociologist &amp; Socio-Economist</t>
  </si>
  <si>
    <t>Sub Total G</t>
  </si>
  <si>
    <t>Sub Total F</t>
  </si>
  <si>
    <t>Sub Total D</t>
  </si>
  <si>
    <t>Sub Total C</t>
  </si>
  <si>
    <t xml:space="preserve">Management and Leadership </t>
  </si>
  <si>
    <t>MNGT</t>
  </si>
  <si>
    <t xml:space="preserve">Type of Courses </t>
  </si>
  <si>
    <t>Social Safeguard (Social, Environment, Climate, Gender issue)</t>
  </si>
  <si>
    <t>ECOA</t>
  </si>
  <si>
    <t>On the Job (Bridge works - sub soil boring and casting, scafolding, pre-stressing etc.  )</t>
  </si>
  <si>
    <t>Grand Total (Revenue &amp; Dev.  Budget)</t>
  </si>
  <si>
    <t>Summary of Training  Achievement (Plan Vs. Achievement), FY : 2012-2013</t>
  </si>
  <si>
    <t>Revised Plan</t>
  </si>
  <si>
    <t>Rev. Allocation (LT)</t>
  </si>
  <si>
    <t>Remark</t>
  </si>
  <si>
    <t>Close Jun/13</t>
  </si>
  <si>
    <t>Detailed Training Achievement (Plan Vs. Achievement): FY : 2012-2013</t>
  </si>
  <si>
    <t>Sub-Total (Rev)</t>
  </si>
  <si>
    <t>Sub Total (Revenue)</t>
  </si>
  <si>
    <t xml:space="preserve">33 Received </t>
  </si>
  <si>
    <t xml:space="preserve">192 persons received </t>
  </si>
  <si>
    <t>QCT-1(S)</t>
  </si>
  <si>
    <t>LGED Gender Strategy and Action Plan upto 2013-'15</t>
  </si>
  <si>
    <t xml:space="preserve">Project Identification, preparation, appraisal and approval </t>
  </si>
  <si>
    <t>NAPD/BIAM</t>
  </si>
  <si>
    <t>DPP</t>
  </si>
  <si>
    <t>List of Training Courses (TRAINING PLAN)  for the FY : 2013-2014</t>
  </si>
  <si>
    <t>Aug/13-Mar/14</t>
  </si>
  <si>
    <t>ASUR</t>
  </si>
  <si>
    <t>Advanced surveying icuding leveling and Total Station Survey</t>
  </si>
  <si>
    <t>Sept-Dec/13</t>
  </si>
  <si>
    <t>Closing on next Jun'14</t>
  </si>
  <si>
    <t>Commenced from Mar'13</t>
  </si>
  <si>
    <t>Quarterly Progress Review Meetings</t>
  </si>
  <si>
    <t>Workshop on Design, Construction and O&amp;M of Buried Pipe</t>
  </si>
  <si>
    <t>TOT: O&amp;M Training</t>
  </si>
  <si>
    <t>Agricultural Production and Land Use Plan Preparation</t>
  </si>
  <si>
    <t>PSSWRSP-ADB</t>
  </si>
  <si>
    <t xml:space="preserve">WMCA members &amp; other related officials for Bhogai river Rubber Dam </t>
  </si>
  <si>
    <t xml:space="preserve">WMCA members &amp; other related officials for Dhorola river Rubber Dam </t>
  </si>
  <si>
    <t>WMCA members &amp; other related officials for Purnobhaba river Rubber Dam</t>
  </si>
  <si>
    <t xml:space="preserve">WMCA members &amp; other related officials for Shelok Khal river Rubber Dam </t>
  </si>
  <si>
    <t xml:space="preserve">WMCA members &amp; other related officials for Tangaon river Rubber Dam </t>
  </si>
  <si>
    <t xml:space="preserve">WMCA members &amp; other related officials for Haldha river Rubber Dam </t>
  </si>
  <si>
    <t xml:space="preserve">WMCA members &amp; other related officials for Longla river Rubber Dam </t>
  </si>
  <si>
    <t>WMCA members &amp; other related officials for Changi river Rubber Dam</t>
  </si>
  <si>
    <t>17- 19/11/13</t>
  </si>
  <si>
    <t>08-10/12/13</t>
  </si>
  <si>
    <t>22-24/12/13</t>
  </si>
  <si>
    <t>25-27/01/14</t>
  </si>
  <si>
    <t>15-17/02/14</t>
  </si>
  <si>
    <t>16- 18/03/14</t>
  </si>
  <si>
    <t>06- 08/04/14</t>
  </si>
  <si>
    <t>19- 21/04/14</t>
  </si>
  <si>
    <t>BARD</t>
  </si>
  <si>
    <t>68, 75, 
89</t>
  </si>
  <si>
    <t>District Level Workshop to review and assess subproject Institutional, Agricultural, Fisheries and Livestock development activities</t>
  </si>
  <si>
    <t>26, 27, 
50</t>
  </si>
  <si>
    <t>O&amp;M training</t>
  </si>
  <si>
    <t>ICM: Integreted Crop Management</t>
  </si>
  <si>
    <t>Demand-led training on Agriculture\</t>
  </si>
  <si>
    <t>Fisheries Program  Management Training 2</t>
  </si>
  <si>
    <t>Subproject Fisheries Development Plan</t>
  </si>
  <si>
    <t>On-site Fisheries training</t>
  </si>
  <si>
    <t>Fisheries Exchange Visits</t>
  </si>
  <si>
    <t>ToT on Environmental issues including Environmental Mitigation Plan (90)</t>
  </si>
  <si>
    <t>Why Gender Matters</t>
  </si>
  <si>
    <t>Gender Awareness Training for Engineers at District and Upazila Level</t>
  </si>
  <si>
    <t>Income Generating Ideas and Suggestions</t>
  </si>
  <si>
    <r>
      <t xml:space="preserve">City Cor: </t>
    </r>
    <r>
      <rPr>
        <sz val="7"/>
        <rFont val="Arial"/>
        <family val="2"/>
      </rPr>
      <t>(XEN,AE,SAE)</t>
    </r>
    <r>
      <rPr>
        <sz val="8"/>
        <rFont val="Arial"/>
        <family val="2"/>
      </rPr>
      <t xml:space="preserve">; </t>
    </r>
  </si>
  <si>
    <r>
      <t xml:space="preserve">LGED:  </t>
    </r>
    <r>
      <rPr>
        <sz val="7"/>
        <rFont val="Arial"/>
        <family val="2"/>
      </rPr>
      <t>(XEN,Sr.AE,AE,UE,UAE,SAE,SUR)</t>
    </r>
    <r>
      <rPr>
        <sz val="8"/>
        <rFont val="Arial"/>
        <family val="2"/>
      </rPr>
      <t xml:space="preserve"> </t>
    </r>
  </si>
  <si>
    <r>
      <t xml:space="preserve"> DPHE: </t>
    </r>
    <r>
      <rPr>
        <sz val="7"/>
        <rFont val="Arial"/>
        <family val="2"/>
      </rPr>
      <t>(XEN,AE,SAE)</t>
    </r>
  </si>
  <si>
    <r>
      <t>Beneficiaries, Road maintenance and Market labourers &amp;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Women traders</t>
    </r>
  </si>
  <si>
    <r>
      <t xml:space="preserve">b. Support for marketable crops
</t>
    </r>
    <r>
      <rPr>
        <b/>
        <sz val="9"/>
        <rFont val="Arial"/>
        <family val="2"/>
      </rPr>
      <t>( DAE Component)</t>
    </r>
  </si>
  <si>
    <t>Sub Total B(a):</t>
  </si>
  <si>
    <t>Sub Total B(b):</t>
  </si>
  <si>
    <t>Sub Total (B):</t>
  </si>
  <si>
    <t>Sub Total (C):</t>
  </si>
  <si>
    <t>4. Operation and Maintenance (O&amp;M)</t>
  </si>
  <si>
    <t>Training under Revenue (GoB) Budget</t>
  </si>
  <si>
    <t>STAAD</t>
  </si>
  <si>
    <t>BARD /BIM/BMDC</t>
  </si>
  <si>
    <t>FSMF,DOF, Norshindi &amp;YTC, Savar, Dhaka</t>
  </si>
  <si>
    <t>TOT : Gender in Water Management</t>
  </si>
  <si>
    <t>Dist. Sociologist/SOEs</t>
  </si>
  <si>
    <t>TOT on Gender for Partner agencies</t>
  </si>
  <si>
    <t>Staff from DAE/ATI/DOF/FRI/DWA/DOC and DLA</t>
  </si>
  <si>
    <t>District/Division</t>
  </si>
  <si>
    <t>PSSW-101</t>
  </si>
  <si>
    <t>IWRMU and PSSW officials</t>
  </si>
  <si>
    <t>UP Chairman, Female Members</t>
  </si>
  <si>
    <t xml:space="preserve"> Male and Female Members of selected WMCA</t>
  </si>
  <si>
    <t>Role of Women in WMCA Decision Making</t>
  </si>
  <si>
    <t>PSSW-181</t>
  </si>
  <si>
    <t>Gender Equity for PRA Team</t>
  </si>
  <si>
    <t>PRA Team Members</t>
  </si>
  <si>
    <t>District /Division/RDEC</t>
  </si>
  <si>
    <t xml:space="preserve">WMS traders </t>
  </si>
  <si>
    <t>Function of MMC and Banik Samaity</t>
  </si>
  <si>
    <t>ICT for XEN, &amp; AE</t>
  </si>
  <si>
    <t>Flexible Pavement (WA)</t>
  </si>
  <si>
    <t xml:space="preserve">Flexible Pavement Construction </t>
  </si>
  <si>
    <t xml:space="preserve">Events/ Batches </t>
  </si>
  <si>
    <t>Total Participant</t>
  </si>
  <si>
    <t xml:space="preserve"> Dist. SAE (selected)</t>
  </si>
  <si>
    <t>SE, PD, XEN, UE</t>
  </si>
  <si>
    <t>UE, AE, UAE, SAE</t>
  </si>
  <si>
    <t>LT</t>
  </si>
  <si>
    <t>QCT-5</t>
  </si>
  <si>
    <t>SAE (selected)</t>
  </si>
  <si>
    <t>Sr.AE, AE, UAE, UE (selected)</t>
  </si>
  <si>
    <t xml:space="preserve">Social, Environment and Climate issues </t>
  </si>
  <si>
    <t>XEN (SE off), DD(MSU),Sr.AE</t>
  </si>
  <si>
    <t>RS</t>
  </si>
  <si>
    <t>SENVC</t>
  </si>
  <si>
    <t>GAD</t>
  </si>
  <si>
    <t>Total from Revenue Budget (CTU+RTC)</t>
  </si>
  <si>
    <t>XEN, Sr.AE</t>
  </si>
  <si>
    <t>Sr.AE, AE, UE, UAE</t>
  </si>
  <si>
    <t>XEN,Sr.AE, UE, AE, UAE</t>
  </si>
  <si>
    <t>Total Trainees Planned</t>
  </si>
  <si>
    <t>FND-AE</t>
  </si>
  <si>
    <t>FND-SAE</t>
  </si>
  <si>
    <t>AE</t>
  </si>
  <si>
    <t>Jul-Sept/13</t>
  </si>
  <si>
    <t>Jul-Junt/14</t>
  </si>
  <si>
    <t>Jan-Jun/14</t>
  </si>
  <si>
    <t>Project Courses Implementation by CTU/RTC in collaboration with the Project</t>
  </si>
  <si>
    <t>SE, PD, EE</t>
  </si>
  <si>
    <t>PD, EE</t>
  </si>
  <si>
    <t xml:space="preserve">CIG Training </t>
  </si>
  <si>
    <t>District Start up Workshop</t>
  </si>
  <si>
    <t>District Planning Workshop</t>
  </si>
  <si>
    <t>Environmental and Social Safeguard Issues</t>
  </si>
  <si>
    <t>SE, ,XEN,Sr.AE, UEs, Councillor, Pri Sch. Teacher, ADTL, FRE &amp; CS</t>
  </si>
  <si>
    <t>July 13-June-14</t>
  </si>
  <si>
    <t>Introduction of Environmental Guidelines of LGED.</t>
  </si>
  <si>
    <r>
      <t xml:space="preserve">Specification of works, Work Supervision </t>
    </r>
    <r>
      <rPr>
        <sz val="9"/>
        <color rgb="FFFF0000"/>
        <rFont val="Arial"/>
        <family val="2"/>
      </rPr>
      <t>(ECRRP)</t>
    </r>
  </si>
  <si>
    <r>
      <t xml:space="preserve">Electronic Procurement (e-GP) </t>
    </r>
    <r>
      <rPr>
        <sz val="9"/>
        <color rgb="FFFF0000"/>
        <rFont val="Arial Narrow"/>
        <family val="2"/>
      </rPr>
      <t>(HILIP)</t>
    </r>
  </si>
  <si>
    <r>
      <t>Auto Cad Trg. for the Engineering Section Staff of PS</t>
    </r>
    <r>
      <rPr>
        <sz val="9"/>
        <color rgb="FFFF0000"/>
        <rFont val="Arial"/>
        <family val="2"/>
      </rPr>
      <t xml:space="preserve"> (MGSP)</t>
    </r>
  </si>
  <si>
    <r>
      <t xml:space="preserve">Flexible Pavement Construction  </t>
    </r>
    <r>
      <rPr>
        <sz val="9"/>
        <color rgb="FFFF0000"/>
        <rFont val="Arial"/>
        <family val="2"/>
      </rPr>
      <t>(MGSP)</t>
    </r>
  </si>
  <si>
    <t>Surveying Course (MGSP)</t>
  </si>
  <si>
    <r>
      <t xml:space="preserve">Public Procurement Rules-2008 </t>
    </r>
    <r>
      <rPr>
        <sz val="9"/>
        <color rgb="FFFF0000"/>
        <rFont val="Arial"/>
        <family val="2"/>
      </rPr>
      <t>(MGSP)</t>
    </r>
  </si>
  <si>
    <r>
      <t xml:space="preserve">Estimating Course </t>
    </r>
    <r>
      <rPr>
        <sz val="9"/>
        <color rgb="FFFF0000"/>
        <rFont val="Arial"/>
        <family val="2"/>
      </rPr>
      <t>(MGSP)</t>
    </r>
  </si>
  <si>
    <r>
      <t>Quality Control of Construction Works (QCT-1)</t>
    </r>
    <r>
      <rPr>
        <sz val="9"/>
        <color rgb="FFFF0000"/>
        <rFont val="Arial"/>
        <family val="2"/>
      </rPr>
      <t xml:space="preserve"> (MGSP)</t>
    </r>
  </si>
  <si>
    <r>
      <t xml:space="preserve">Quality Control of Construction Works (QCT-2) </t>
    </r>
    <r>
      <rPr>
        <sz val="9"/>
        <color rgb="FFFF0000"/>
        <rFont val="Arial"/>
        <family val="2"/>
      </rPr>
      <t>(MGSP)</t>
    </r>
  </si>
  <si>
    <r>
      <t xml:space="preserve">AutoCAD Training </t>
    </r>
    <r>
      <rPr>
        <sz val="9"/>
        <color rgb="FFFF0000"/>
        <rFont val="Arial"/>
        <family val="2"/>
      </rPr>
      <t>(PSSW)</t>
    </r>
  </si>
  <si>
    <r>
      <t xml:space="preserve">Training of Trainers Course (TOT) </t>
    </r>
    <r>
      <rPr>
        <sz val="9"/>
        <color rgb="FFFF0000"/>
        <rFont val="Arial"/>
        <family val="2"/>
      </rPr>
      <t>(PSSW)</t>
    </r>
  </si>
  <si>
    <r>
      <t xml:space="preserve">STAAD.Pro Training </t>
    </r>
    <r>
      <rPr>
        <sz val="9"/>
        <color rgb="FFFF0000"/>
        <rFont val="Arial"/>
        <family val="2"/>
      </rPr>
      <t>(PSSW)</t>
    </r>
  </si>
  <si>
    <r>
      <t xml:space="preserve">Engineering Survey </t>
    </r>
    <r>
      <rPr>
        <sz val="9"/>
        <color rgb="FFFF0000"/>
        <rFont val="Arial"/>
        <family val="2"/>
      </rPr>
      <t>(PSSW)</t>
    </r>
  </si>
  <si>
    <r>
      <t xml:space="preserve">Understanding Drawings of Hydraulic Structure </t>
    </r>
    <r>
      <rPr>
        <sz val="9"/>
        <color rgb="FFFF0000"/>
        <rFont val="Arial"/>
        <family val="2"/>
      </rPr>
      <t>(PSSW)</t>
    </r>
  </si>
  <si>
    <r>
      <t>a) Planning Methods</t>
    </r>
    <r>
      <rPr>
        <sz val="9"/>
        <color rgb="FFFF0000"/>
        <rFont val="Arial"/>
        <family val="2"/>
      </rPr>
      <t xml:space="preserve"> (PSSW)</t>
    </r>
  </si>
  <si>
    <r>
      <t xml:space="preserve">Construction Practices and Quality Control </t>
    </r>
    <r>
      <rPr>
        <sz val="9"/>
        <color rgb="FFFF0000"/>
        <rFont val="Arial"/>
        <family val="2"/>
      </rPr>
      <t>(PSSW)</t>
    </r>
  </si>
  <si>
    <r>
      <t xml:space="preserve">Laboratory Testing of Construction Materials </t>
    </r>
    <r>
      <rPr>
        <sz val="9"/>
        <color rgb="FFFF0000"/>
        <rFont val="Arial"/>
        <family val="2"/>
      </rPr>
      <t>(RTIP)</t>
    </r>
  </si>
  <si>
    <r>
      <t xml:space="preserve">Road &amp; Road Structure Maintenance </t>
    </r>
    <r>
      <rPr>
        <sz val="9"/>
        <color rgb="FFFF0000"/>
        <rFont val="Arial"/>
        <family val="2"/>
      </rPr>
      <t>(RTIP)</t>
    </r>
  </si>
  <si>
    <r>
      <t xml:space="preserve">Participatory Planning and Design Principles; and Implementation Monitoring of Small Scale Water Resources subprojects </t>
    </r>
    <r>
      <rPr>
        <sz val="9"/>
        <color rgb="FFFF0000"/>
        <rFont val="Arial"/>
        <family val="2"/>
      </rPr>
      <t>(SSW-JICA)</t>
    </r>
  </si>
  <si>
    <r>
      <t xml:space="preserve">Planning Methods and Design Concepts </t>
    </r>
    <r>
      <rPr>
        <sz val="9"/>
        <color rgb="FFFF0000"/>
        <rFont val="Arial"/>
        <family val="2"/>
      </rPr>
      <t>(SSW-JICA)</t>
    </r>
  </si>
  <si>
    <r>
      <t xml:space="preserve">Understanding Drawings of Hydraulic Structures, Construction Practices and Quality Control and TOT: Construction Monitoring  Training for WMCAs </t>
    </r>
    <r>
      <rPr>
        <sz val="9"/>
        <color rgb="FFFF0000"/>
        <rFont val="Arial"/>
        <family val="2"/>
      </rPr>
      <t>(SSW-JICA)</t>
    </r>
  </si>
  <si>
    <t>City Region development Project (CRDP)</t>
  </si>
  <si>
    <t xml:space="preserve">Enhancing Resilience to Disastar and the effect of climate Change ProjectEnhancing Resilence </t>
  </si>
  <si>
    <t>Char Development &amp; Settlement Project-IV (CDSP-IV)</t>
  </si>
  <si>
    <t xml:space="preserve">                                    </t>
  </si>
  <si>
    <t>XEN (SE off), Sr. AE, UE, AE</t>
  </si>
  <si>
    <t>COM</t>
  </si>
  <si>
    <t>Basic Computer Operations</t>
  </si>
  <si>
    <t xml:space="preserve">Status </t>
  </si>
  <si>
    <t>Already covered</t>
  </si>
  <si>
    <t>Remaining</t>
  </si>
  <si>
    <t>Accountant, UDA</t>
  </si>
  <si>
    <t xml:space="preserve">UE, AE, UAE, SAE </t>
  </si>
  <si>
    <t>EE, DD, DPD, Sr.AE, UE, AE, UAE</t>
  </si>
  <si>
    <t>EE, Sr.AE, UE, AE, UAE</t>
  </si>
  <si>
    <t>Total HILIP</t>
  </si>
  <si>
    <t>Total  MIDPCR</t>
  </si>
  <si>
    <t xml:space="preserve"> Total PSSWRSP</t>
  </si>
  <si>
    <t xml:space="preserve"> Total RERMP</t>
  </si>
  <si>
    <t xml:space="preserve"> Total RIIP-2</t>
  </si>
  <si>
    <t>Total RRMAIDP</t>
  </si>
  <si>
    <t>Total RTIP-2</t>
  </si>
  <si>
    <t xml:space="preserve">Total of Rubber Dam </t>
  </si>
  <si>
    <t>Total SRIIP</t>
  </si>
  <si>
    <t>TOTAL SWBRDP</t>
  </si>
  <si>
    <t>TOTAL SSW-JICA</t>
  </si>
  <si>
    <t>TOTAL UGIIP-2</t>
  </si>
  <si>
    <t>TOTAL UPPRP</t>
  </si>
  <si>
    <t>ICT &amp; its application</t>
  </si>
  <si>
    <t>EE, UE</t>
  </si>
  <si>
    <t>PSSW-82</t>
  </si>
  <si>
    <t>Orientation of WMCA (Dist. Level)</t>
  </si>
  <si>
    <t>PSSW-175</t>
  </si>
  <si>
    <t>PRA Training</t>
  </si>
  <si>
    <t>PSSW-59</t>
  </si>
  <si>
    <t>Training Course on Social &amp; Institutional aspects</t>
  </si>
  <si>
    <t>b) Hydraulic Structure Design (Regulator, Sluice &amp; Rubber Dam)</t>
  </si>
  <si>
    <t>Understanding drawings of Hydraulic Structure</t>
  </si>
  <si>
    <t>TOT: Training LCS on earthwork methods</t>
  </si>
  <si>
    <t>Earthwork method for LCS</t>
  </si>
  <si>
    <t>Construction monitoring for WMCAs</t>
  </si>
  <si>
    <t>STAD</t>
  </si>
  <si>
    <t>STAAD.Pro training</t>
  </si>
  <si>
    <t>Auto CAD training</t>
  </si>
  <si>
    <t>O&amp;M Training for UEs</t>
  </si>
  <si>
    <t>PSSW-73</t>
  </si>
  <si>
    <t>O&amp;M Training Review (follow-up)</t>
  </si>
  <si>
    <t>O&amp;M Training for Upzaila SAE &amp; CO</t>
  </si>
  <si>
    <t>O&amp;M Training for WMCA</t>
  </si>
  <si>
    <t>WMCA: Building O&amp;M Awareness</t>
  </si>
  <si>
    <t>PSSW-117</t>
  </si>
  <si>
    <t>Training for New WMCA O&amp;M Committee</t>
  </si>
  <si>
    <t>PSSW-118</t>
  </si>
  <si>
    <t>O&amp;M Training for PSSWRSP Sub-Projects (Follow-up)</t>
  </si>
  <si>
    <t>Review of SP Agric. Dev't &amp; Effect Monitoring</t>
  </si>
  <si>
    <t>262</t>
  </si>
  <si>
    <t>TOT on sustainable agriculture production</t>
  </si>
  <si>
    <t>Demand Led Training (Farm Water Management)</t>
  </si>
  <si>
    <t>Demand Led Training (Seed Production)</t>
  </si>
  <si>
    <t>Sustainable agriculture production</t>
  </si>
  <si>
    <t>Agriculture resources management (Soil, Land, water)</t>
  </si>
  <si>
    <t>Agriculture resources management (Value Chain Management)</t>
  </si>
  <si>
    <t>SP Agriculture Production Plan preparation</t>
  </si>
  <si>
    <t>Demonstration and Field days Sustainable Agriculture Production</t>
  </si>
  <si>
    <t>SP Land Use Plan &amp; Preparation Map</t>
  </si>
  <si>
    <t>PSSWRSP Fisheries Program mgt Training (Natural and Culture)</t>
  </si>
  <si>
    <t>PSSW-89</t>
  </si>
  <si>
    <t>PSSWRSP Fisheries Programme Orientation Workshop</t>
  </si>
  <si>
    <t>PSSW-156&amp;158</t>
  </si>
  <si>
    <t>Demonstrations- Selected Packages  and Training on Fish Culture Technique incl. (Natural and Culture) &amp; Demonstration-Selected Package (incl. Sanctuary and Mitigation)</t>
  </si>
  <si>
    <t>PSSW-157</t>
  </si>
  <si>
    <t>Training in Fisheries Extension Support for Fish Production (about 50% time to be on Natural FisheriesAspect)</t>
  </si>
  <si>
    <t>PSSW - 90</t>
  </si>
  <si>
    <r>
      <rPr>
        <u/>
        <sz val="9"/>
        <color indexed="8"/>
        <rFont val="Arial"/>
        <family val="2"/>
      </rPr>
      <t>Foundation Course:</t>
    </r>
    <r>
      <rPr>
        <sz val="9"/>
        <rFont val="Arial"/>
        <family val="2"/>
      </rPr>
      <t xml:space="preserve"> Environmental Laboratory and water Quality </t>
    </r>
  </si>
  <si>
    <t>PSSW - 92</t>
  </si>
  <si>
    <t>Preparation and Monitoring of  Environmental Mitigation Plan (EMP)</t>
  </si>
  <si>
    <t>PSSW - 93</t>
  </si>
  <si>
    <t xml:space="preserve">a) Environmental Laboratory and water Quality Testing : Course-1 </t>
  </si>
  <si>
    <t>b) Environmental Laboratory and water Quality Testing : Course-2</t>
  </si>
  <si>
    <t>c) Environmental Laboratory and water Quality Testing : Course-3</t>
  </si>
  <si>
    <t>d) Environmental Laboratory and water Quality Testing : Course-4</t>
  </si>
  <si>
    <t>PSSW - 94</t>
  </si>
  <si>
    <t>TOT on Understanding of Environmental Aspects  and their Management</t>
  </si>
  <si>
    <t xml:space="preserve">PSSW - 167    </t>
  </si>
  <si>
    <t>PSSW - 168</t>
  </si>
  <si>
    <t>TOT on environmental issues, Impact and Management</t>
  </si>
  <si>
    <t>TOT: Gender in Water Management</t>
  </si>
  <si>
    <t xml:space="preserve">Gender Awareness Training  </t>
  </si>
  <si>
    <t>TOTon Gender for Partner Agencies</t>
  </si>
  <si>
    <t>Role of women in WMCA decission Making.</t>
  </si>
  <si>
    <t>Women's Day 2013 celebration and Foundation Training</t>
  </si>
  <si>
    <t>Gender Equity of PRA Team</t>
  </si>
  <si>
    <t xml:space="preserve">Training on Resettlement Planing &amp; Implementation </t>
  </si>
  <si>
    <t xml:space="preserve">Training on Resettlement Plan Implementation </t>
  </si>
  <si>
    <t xml:space="preserve">Training on Payment Modality of Resettlement Plan </t>
  </si>
  <si>
    <t>Orientation Course on Resettlement Plan</t>
  </si>
  <si>
    <t xml:space="preserve">Training on Resettlement </t>
  </si>
  <si>
    <t>Training on Land Acquesation</t>
  </si>
  <si>
    <t>Graphical Comparision of Training Progress (Plan versus Achievement), 2012-13</t>
  </si>
  <si>
    <t>Sub Total ECRRP</t>
  </si>
  <si>
    <t>Total SCBRMP</t>
  </si>
  <si>
    <t xml:space="preserve">Training &amp; Workshops for capacity development of Government and project institutions </t>
  </si>
  <si>
    <t>A. Climate Change</t>
  </si>
  <si>
    <t xml:space="preserve">CCRIP/O3.6.1 </t>
  </si>
  <si>
    <t>National Workshop on Climate Change Adaptation.</t>
  </si>
  <si>
    <t>Stakeholders at National level</t>
  </si>
  <si>
    <t>Sep'13</t>
  </si>
  <si>
    <t>CCRIP/O3.6.2</t>
  </si>
  <si>
    <t>District Workshops on Climate Change Hazards.</t>
  </si>
  <si>
    <t>Stakeholders at District  level</t>
  </si>
  <si>
    <t>1.347</t>
  </si>
  <si>
    <t>Oct'13 to DecDec'13</t>
  </si>
  <si>
    <t xml:space="preserve">CCRIP/O3.6.3 </t>
  </si>
  <si>
    <t xml:space="preserve"> Upazila Workshops on Climate Change Hazards, Impacts and Adaptation.</t>
  </si>
  <si>
    <t>Stakeholders at Upazila  level</t>
  </si>
  <si>
    <t>Oct'13 to Dec'13</t>
  </si>
  <si>
    <t>4</t>
  </si>
  <si>
    <t xml:space="preserve">CCRIP/O3.6.4 </t>
  </si>
  <si>
    <t>Project-level Workshops on Climate Change Hazards, Impacts and Adaptation.</t>
  </si>
  <si>
    <t>Official of CCRIP</t>
  </si>
  <si>
    <t>Jan'14 to May'14</t>
  </si>
  <si>
    <t>B. Project Awareness and Implementation</t>
  </si>
  <si>
    <t>5</t>
  </si>
  <si>
    <t>CCRIP/O3.6.6</t>
  </si>
  <si>
    <t xml:space="preserve"> Project Orientation Workshops for Upazilla Chairmen and UP Chairmen.</t>
  </si>
  <si>
    <t xml:space="preserve"> Upazilla Chairmen and UP Chairmen</t>
  </si>
  <si>
    <t>Jan'14 to June'14</t>
  </si>
  <si>
    <t>6</t>
  </si>
  <si>
    <t xml:space="preserve">CCRIP/O3.6.9 </t>
  </si>
  <si>
    <t>Rural Market Participatory Planning Workshops.</t>
  </si>
  <si>
    <t xml:space="preserve">Stakeholders of Rural Market </t>
  </si>
  <si>
    <t>2.67</t>
  </si>
  <si>
    <t>7</t>
  </si>
  <si>
    <t>CCRIP/O3.6.10</t>
  </si>
  <si>
    <t xml:space="preserve"> Market Management Workshops.</t>
  </si>
  <si>
    <t xml:space="preserve"> Market Management Committee (MMC)</t>
  </si>
  <si>
    <t>8</t>
  </si>
  <si>
    <t>CCRIP/O3.6.11</t>
  </si>
  <si>
    <t xml:space="preserve"> Market Users and Stakeholders Workshops.</t>
  </si>
  <si>
    <t xml:space="preserve">Market Management Committee (MMC) &amp; Stakeholders of Rural Market </t>
  </si>
  <si>
    <t>CCRIP/O3.6.12</t>
  </si>
  <si>
    <t xml:space="preserve"> Local Contracting Society Awareness Workshops.</t>
  </si>
  <si>
    <t>Nov'13 to Dec'13</t>
  </si>
  <si>
    <t>C. Local training for project staff (IFAD)</t>
  </si>
  <si>
    <t>10</t>
  </si>
  <si>
    <t>CCRIP/O3.6.13</t>
  </si>
  <si>
    <t xml:space="preserve"> Accounting and documents management training .</t>
  </si>
  <si>
    <t xml:space="preserve">Accounting Staff of CCRIP &amp; LGED </t>
  </si>
  <si>
    <t>Aug'13</t>
  </si>
  <si>
    <t>11</t>
  </si>
  <si>
    <t>CCRIP/O3.6.14</t>
  </si>
  <si>
    <t xml:space="preserve"> Double entry accounting system training .</t>
  </si>
  <si>
    <t>12</t>
  </si>
  <si>
    <t xml:space="preserve">CCRIP/O3.6.15 </t>
  </si>
  <si>
    <t>Accounting software procurement, training and maintenance.</t>
  </si>
  <si>
    <t>Beneficiary Workshops and Training</t>
  </si>
  <si>
    <t>A. General Market Users Workshops and Training</t>
  </si>
  <si>
    <t>13</t>
  </si>
  <si>
    <t xml:space="preserve">CCRIP/O3.6.10 </t>
  </si>
  <si>
    <t>Market Users and Stakeholders. Workshops</t>
  </si>
  <si>
    <t>Stakeholders of Rural Market.</t>
  </si>
  <si>
    <t xml:space="preserve">Nov'13 </t>
  </si>
  <si>
    <t>14</t>
  </si>
  <si>
    <t xml:space="preserve"> Market Rules and Regulations Training.</t>
  </si>
  <si>
    <t xml:space="preserve"> Market Management Committee (MMC).</t>
  </si>
  <si>
    <t>Nov'13  to Dec' 13</t>
  </si>
  <si>
    <t>15</t>
  </si>
  <si>
    <t xml:space="preserve"> Market Operation and Maintenance Training /b.</t>
  </si>
  <si>
    <t xml:space="preserve"> Market Management Committee (MMC)  &amp; Stakeholders of Rural Market.</t>
  </si>
  <si>
    <t>Nov'13 to Jan'14</t>
  </si>
  <si>
    <t>16</t>
  </si>
  <si>
    <t xml:space="preserve"> Market Management Committee &amp; Stakeholders of Rural Market.</t>
  </si>
  <si>
    <t>April'14</t>
  </si>
  <si>
    <t>B. Women Market Users Workshops and Training /d</t>
  </si>
  <si>
    <t>17</t>
  </si>
  <si>
    <t xml:space="preserve"> Women Market Section Users Workshops /e.</t>
  </si>
  <si>
    <t>Women Entrepreneur.</t>
  </si>
  <si>
    <t>Feb'14 to April'14</t>
  </si>
  <si>
    <t>18</t>
  </si>
  <si>
    <t>CCRIP/O3.6.15</t>
  </si>
  <si>
    <t xml:space="preserve"> Environment and Social Safeguards Workshops.</t>
  </si>
  <si>
    <t>Dec'13</t>
  </si>
  <si>
    <t>19</t>
  </si>
  <si>
    <t xml:space="preserve">CCRIP/O3.6.17 </t>
  </si>
  <si>
    <t>Market Management Committee and Banik Samity Functions Training.</t>
  </si>
  <si>
    <t xml:space="preserve"> Market Management Committee (MMC)  &amp;  Banik Samity .</t>
  </si>
  <si>
    <t>Dec'13 to Jan'14</t>
  </si>
  <si>
    <t>20</t>
  </si>
  <si>
    <t>CCRIP/O3.6.18</t>
  </si>
  <si>
    <t xml:space="preserve"> Women Temporary Market Users Workshops.</t>
  </si>
  <si>
    <t>Feb'14</t>
  </si>
  <si>
    <t>C. Labor Contracting Society Workshops and Training</t>
  </si>
  <si>
    <t>21</t>
  </si>
  <si>
    <t>CCRIP/O3.6.19</t>
  </si>
  <si>
    <t xml:space="preserve"> Orientation Workshops /f.</t>
  </si>
  <si>
    <t>LCS.</t>
  </si>
  <si>
    <t>Sep'13 to Oct'13</t>
  </si>
  <si>
    <t>22</t>
  </si>
  <si>
    <t>CCRIP/O3.6.20</t>
  </si>
  <si>
    <t xml:space="preserve"> LCS Formation and Management Training.</t>
  </si>
  <si>
    <t>Sep'13 to Dec'13</t>
  </si>
  <si>
    <t>23</t>
  </si>
  <si>
    <t>CCRIP/O3.6.21</t>
  </si>
  <si>
    <t xml:space="preserve"> Savings and Financial Management.</t>
  </si>
  <si>
    <t>24</t>
  </si>
  <si>
    <t xml:space="preserve">CCRIP/O3.6.22 </t>
  </si>
  <si>
    <t>Procurement.</t>
  </si>
  <si>
    <t>25</t>
  </si>
  <si>
    <t xml:space="preserve">CCRIP/O3.6.23 </t>
  </si>
  <si>
    <t>Contract Management.</t>
  </si>
  <si>
    <t>26</t>
  </si>
  <si>
    <t>CCRIP/O3.6.24</t>
  </si>
  <si>
    <t xml:space="preserve"> Health and Hygiene.</t>
  </si>
  <si>
    <t>D. MMC, WMS, training and exchange visits (IFAD)</t>
  </si>
  <si>
    <t>27</t>
  </si>
  <si>
    <t>CCRIP/O3.6.31</t>
  </si>
  <si>
    <t xml:space="preserve"> Upazila Market Management workshop /g.</t>
  </si>
  <si>
    <t>Market Management Committee  (MMC) &amp; Women Entrepreneur for WMS.</t>
  </si>
  <si>
    <t>Aug'13 to May'14</t>
  </si>
  <si>
    <t>28</t>
  </si>
  <si>
    <t>CCRIP/O3.6.32</t>
  </si>
  <si>
    <t xml:space="preserve"> Market User and Stakeholder workshop /h</t>
  </si>
  <si>
    <t>29</t>
  </si>
  <si>
    <t>CCRIP/O3.6.33</t>
  </si>
  <si>
    <t xml:space="preserve"> Market Management Committee initial training /i.</t>
  </si>
  <si>
    <t>Sep'13 to Feb'14</t>
  </si>
  <si>
    <t>Total of  Coastal Climate (CCRIP)</t>
  </si>
  <si>
    <t xml:space="preserve">Sub Total </t>
  </si>
  <si>
    <t xml:space="preserve">Gender and Development Awareness training </t>
  </si>
  <si>
    <t>Total of ECRRP</t>
  </si>
  <si>
    <t>Total Enhancing Resilience</t>
  </si>
  <si>
    <t>Total of  GRDIRDP</t>
  </si>
  <si>
    <t>Total of HILIP</t>
  </si>
  <si>
    <t>Total of CDSP-IV</t>
  </si>
  <si>
    <t>Total of  CRDP</t>
  </si>
  <si>
    <t>Total MGSP</t>
  </si>
  <si>
    <t>Total NOBIDEP</t>
  </si>
  <si>
    <t xml:space="preserve">Sub Total Resettlement </t>
  </si>
  <si>
    <t>Total of PSSWRDP</t>
  </si>
  <si>
    <t>Total of SRIIP</t>
  </si>
  <si>
    <t>Total of SWBRDP</t>
  </si>
  <si>
    <t xml:space="preserve"> Total of SSWRDP-JICA</t>
  </si>
  <si>
    <t>Total of SCBRMP</t>
  </si>
  <si>
    <t>Total of UGIIP-2</t>
  </si>
  <si>
    <t>Total of UPPRP</t>
  </si>
  <si>
    <t xml:space="preserve">Total  under Project Funding </t>
  </si>
  <si>
    <r>
      <t>Coastal Climate Resilient Infrastructure Project (CCRIP)</t>
    </r>
    <r>
      <rPr>
        <b/>
        <sz val="8"/>
        <color rgb="FF2C2CF4"/>
        <rFont val="Arial"/>
        <family val="2"/>
      </rPr>
      <t xml:space="preserve"> </t>
    </r>
    <r>
      <rPr>
        <b/>
        <sz val="10"/>
        <color rgb="FF2C2CF4"/>
        <rFont val="Arial"/>
        <family val="2"/>
      </rPr>
      <t>(details will be finalized after mobilization of Consultants)</t>
    </r>
  </si>
  <si>
    <t>Construction Practices  and Quality Control PSSWRDSP</t>
  </si>
  <si>
    <t>Understanding Drawing og Hydraulic Structures PSSWRDP</t>
  </si>
  <si>
    <t>Engineering Survey (Plane Table and Levelling) PSSWRDSP</t>
  </si>
  <si>
    <t>Plane Table and Levelling Survey (SSW_JICA)</t>
  </si>
  <si>
    <t>OJT on Building Works (Funding from PEDP-3)</t>
  </si>
  <si>
    <t>Foundation Training for AE (1 course by NOBIDEP)</t>
  </si>
  <si>
    <t>Economic Analysis of Infrastructure Projects (Funding from RTIP-2)</t>
  </si>
  <si>
    <t>Project Management (Funding from RTIP-2)</t>
  </si>
  <si>
    <t>Building Contruction Management (Funding from PEDP-3)</t>
  </si>
  <si>
    <t>Concrete and Building works (Funding from HILIP)</t>
  </si>
  <si>
    <t>Supervision of Infrastructure Construction (Funding from HILIP)</t>
  </si>
  <si>
    <t>Plane table and Levelling Survey (Funding from PSSWRDP)</t>
  </si>
  <si>
    <t xml:space="preserve"> Plumbing and Sanitary Works (Funding from PEDP-3)</t>
  </si>
  <si>
    <t>ICT &amp; its application (NOBIDEP)</t>
  </si>
  <si>
    <t>ICT &amp; its application (CDSP- IV)</t>
  </si>
  <si>
    <t>INS</t>
  </si>
  <si>
    <t xml:space="preserve">Inspection and reporting </t>
  </si>
  <si>
    <t>Grand Total (Rev + Proj)</t>
  </si>
  <si>
    <t>Rev. Allocation (Lakh Taka)</t>
  </si>
  <si>
    <t>Rev. Plan</t>
  </si>
  <si>
    <t xml:space="preserve">Basic concept on Quality Control </t>
  </si>
  <si>
    <t xml:space="preserve">Contractors and Mistries </t>
  </si>
  <si>
    <t>BQC</t>
  </si>
  <si>
    <t xml:space="preserve">Dist </t>
  </si>
  <si>
    <t>Oct-Mar/14</t>
  </si>
  <si>
    <t>Central Training Unit, HQ</t>
  </si>
  <si>
    <t>Regional  Training Centre (RTC)</t>
  </si>
  <si>
    <t>TU courses Funded by Projects</t>
  </si>
  <si>
    <t>Project Courses Implementation by CTU in Collaboration with CTU</t>
  </si>
  <si>
    <t xml:space="preserve">Regional Training Centers (RTC) </t>
  </si>
  <si>
    <t>C)</t>
  </si>
  <si>
    <t>Coastal Climate Resilient Infratructure Project (CCRIP)</t>
  </si>
  <si>
    <t>Northern Bangladesh Integrated Development Project (NOBIDEP)</t>
  </si>
  <si>
    <t>Institutional Development of WMCA (Need of IWRM Unit) (PSSWRP/SSW-JICA)</t>
  </si>
  <si>
    <t>SAE, Com. Ope, UDA, Acct</t>
  </si>
  <si>
    <t xml:space="preserve">Sr.AE,UE, AE, UAE, SAE </t>
  </si>
  <si>
    <t xml:space="preserve">Tenderers </t>
  </si>
  <si>
    <t xml:space="preserve">Bank officials </t>
  </si>
  <si>
    <t>e-GP(UZ)</t>
  </si>
  <si>
    <t>e-GP(B)</t>
  </si>
  <si>
    <t>e-GP(Te)</t>
  </si>
  <si>
    <t>RTC/Dist</t>
  </si>
  <si>
    <t>Sept-Dec/14</t>
  </si>
  <si>
    <t>Sept-Dec/15</t>
  </si>
  <si>
    <t>Sept-Dec/16</t>
  </si>
  <si>
    <t>Sept-Dec/17</t>
  </si>
  <si>
    <t>Upazila Shahar Infrastructure Development Project (UTIDP)</t>
  </si>
  <si>
    <t xml:space="preserve">Training on Pourashava Planning </t>
  </si>
  <si>
    <t>Mayor, secretary, Urban planner, EE, AE</t>
  </si>
  <si>
    <t>PourP</t>
  </si>
  <si>
    <t>CTU, RTC</t>
  </si>
  <si>
    <t>Oct/13-Mar/14</t>
  </si>
  <si>
    <t>Foundation Training for SAE (5 course by NOBIDEP &amp; others)</t>
  </si>
  <si>
    <t>ICT and its application (RTIP-2)</t>
  </si>
  <si>
    <t>ICT and its application (HILIP)</t>
  </si>
  <si>
    <t>SAE, Com. Ope, UD, Acctt</t>
  </si>
  <si>
    <t>Procurement Mangement  (PPA'06 + PPR'08) (PPRP-II-AF)</t>
  </si>
  <si>
    <t>Electronic GovernmentProcurement (PPRP-II-AF)</t>
  </si>
  <si>
    <t>Electronic Government Procurement (PPRP-II-AF)</t>
  </si>
  <si>
    <t xml:space="preserve"> Electronic Government Procurement (PPRP-II-AF)</t>
  </si>
  <si>
    <t>PMgt</t>
  </si>
  <si>
    <t>Bridge Planning and Construction Management (Supervision)</t>
  </si>
  <si>
    <t xml:space="preserve"> Bridge Construction Management (Pre-stressed)</t>
  </si>
  <si>
    <t>Bridge Planning and Construction Management (Hydro-morphology)</t>
  </si>
  <si>
    <t xml:space="preserve">Refresher Course 1 on Quality Control </t>
  </si>
  <si>
    <t>PPR-S</t>
  </si>
  <si>
    <t>PPR-A</t>
  </si>
  <si>
    <t xml:space="preserve"> Public Procurement Rules 2008 and Financial Management </t>
  </si>
  <si>
    <t>Basic Computer Operations (SWBRDP/SRIIP)</t>
  </si>
  <si>
    <t>Road Safety in Construction and Mainrenance of Roads (RTIP-2)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</si>
  <si>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</si>
  <si>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Sub Total CDSP-IV</t>
  </si>
  <si>
    <t>From this year, 2013</t>
  </si>
  <si>
    <t xml:space="preserve">       </t>
  </si>
</sst>
</file>

<file path=xl/styles.xml><?xml version="1.0" encoding="utf-8"?>
<styleSheet xmlns="http://schemas.openxmlformats.org/spreadsheetml/2006/main">
  <numFmts count="9">
    <numFmt numFmtId="43" formatCode="_(* #,##0.00_);_(* \(#,##0.00\);_(* &quot;-&quot;??_);_(@_)"/>
    <numFmt numFmtId="164" formatCode="0.00;[Red]0.00"/>
    <numFmt numFmtId="165" formatCode="0;[Red]0"/>
    <numFmt numFmtId="166" formatCode="#,##0.00;[Red]#,##0.00"/>
    <numFmt numFmtId="167" formatCode="0.0"/>
    <numFmt numFmtId="168" formatCode="#,##0.0"/>
    <numFmt numFmtId="169" formatCode="_(* #,##0_);_(* \(#,##0\);_(* &quot;-&quot;??_);_(@_)"/>
    <numFmt numFmtId="170" formatCode="_-* #,##0_-;\-* #,##0_-;_-* &quot;-&quot;??_-;_-@_-"/>
    <numFmt numFmtId="171" formatCode="0.0%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u val="double"/>
      <sz val="16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theme="0" tint="-0.14999847407452621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rgb="FFC00000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6"/>
      <color rgb="FF2C2CF4"/>
      <name val="Arial"/>
      <family val="2"/>
    </font>
    <font>
      <sz val="9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 tint="-0.14999847407452621"/>
      <name val="Arial"/>
      <family val="2"/>
    </font>
    <font>
      <b/>
      <u/>
      <sz val="12"/>
      <color rgb="FF00FF99"/>
      <name val="Arial"/>
      <family val="2"/>
    </font>
    <font>
      <b/>
      <sz val="14"/>
      <color theme="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4"/>
      <color rgb="FF0000FF"/>
      <name val="Arial"/>
      <family val="2"/>
    </font>
    <font>
      <b/>
      <sz val="11"/>
      <color theme="1"/>
      <name val="Calibri"/>
      <family val="2"/>
      <scheme val="minor"/>
    </font>
    <font>
      <sz val="8"/>
      <color theme="0"/>
      <name val="Arial"/>
      <family val="2"/>
    </font>
    <font>
      <b/>
      <sz val="14"/>
      <name val="Arial"/>
      <family val="2"/>
    </font>
    <font>
      <b/>
      <sz val="16"/>
      <color theme="0"/>
      <name val="Arial"/>
      <family val="2"/>
    </font>
    <font>
      <sz val="8"/>
      <color theme="1"/>
      <name val="Arial"/>
      <family val="2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b/>
      <u/>
      <sz val="9"/>
      <color rgb="FFFF0000"/>
      <name val="Arial"/>
      <family val="2"/>
    </font>
    <font>
      <b/>
      <u/>
      <sz val="9"/>
      <name val="Arial"/>
      <family val="2"/>
    </font>
    <font>
      <sz val="9"/>
      <color rgb="FFFF0000"/>
      <name val="Arial Narrow"/>
      <family val="2"/>
    </font>
    <font>
      <sz val="11"/>
      <color theme="1"/>
      <name val="Arial"/>
      <family val="2"/>
    </font>
    <font>
      <b/>
      <sz val="14"/>
      <color rgb="FF2C2CF4"/>
      <name val="Arial"/>
      <family val="2"/>
    </font>
    <font>
      <sz val="9"/>
      <color rgb="FF0000FF"/>
      <name val="Arial"/>
      <family val="2"/>
    </font>
    <font>
      <b/>
      <sz val="9"/>
      <color rgb="FF0000FF"/>
      <name val="Arial"/>
      <family val="2"/>
    </font>
    <font>
      <sz val="10"/>
      <color rgb="FF0000FF"/>
      <name val="Arial"/>
      <family val="2"/>
    </font>
    <font>
      <b/>
      <sz val="8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6"/>
      <name val="Arial"/>
      <family val="2"/>
    </font>
    <font>
      <b/>
      <sz val="10"/>
      <color theme="0"/>
      <name val="Arial"/>
      <family val="2"/>
    </font>
    <font>
      <b/>
      <sz val="10"/>
      <color theme="0" tint="-0.14999847407452621"/>
      <name val="Arial"/>
      <family val="2"/>
    </font>
    <font>
      <sz val="7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u/>
      <sz val="9"/>
      <name val="Arial"/>
      <family val="2"/>
    </font>
    <font>
      <u/>
      <sz val="9"/>
      <color indexed="8"/>
      <name val="Arial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sz val="9"/>
      <color theme="1"/>
      <name val="Calibri"/>
      <family val="2"/>
      <scheme val="minor"/>
    </font>
    <font>
      <b/>
      <sz val="8"/>
      <color rgb="FF2C2CF4"/>
      <name val="Arial"/>
      <family val="2"/>
    </font>
    <font>
      <b/>
      <sz val="10"/>
      <color rgb="FF2C2CF4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B427F"/>
        <bgColor indexed="64"/>
      </patternFill>
    </fill>
    <fill>
      <patternFill patternType="solid">
        <fgColor rgb="FF5399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75F0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00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  <border>
      <left/>
      <right/>
      <top style="thin">
        <color theme="3" tint="-0.24994659260841701"/>
      </top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/>
      <top/>
      <bottom style="thin">
        <color theme="3" tint="-0.24994659260841701"/>
      </bottom>
      <diagonal/>
    </border>
    <border>
      <left/>
      <right/>
      <top/>
      <bottom style="thin">
        <color theme="3" tint="-0.24994659260841701"/>
      </bottom>
      <diagonal/>
    </border>
    <border>
      <left/>
      <right style="thin">
        <color rgb="FF92D050"/>
      </right>
      <top/>
      <bottom/>
      <diagonal/>
    </border>
    <border>
      <left/>
      <right style="thin">
        <color theme="3" tint="-0.24994659260841701"/>
      </right>
      <top/>
      <bottom style="thin">
        <color theme="3" tint="-0.2499465926084170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  <border>
      <left style="thin">
        <color theme="8" tint="0.39994506668294322"/>
      </left>
      <right/>
      <top style="thin">
        <color theme="8" tint="0.39994506668294322"/>
      </top>
      <bottom style="thin">
        <color theme="8" tint="0.39994506668294322"/>
      </bottom>
      <diagonal/>
    </border>
    <border>
      <left/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3" tint="-0.24994659260841701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hair">
        <color indexed="64"/>
      </bottom>
      <diagonal/>
    </border>
    <border>
      <left/>
      <right/>
      <top style="thin">
        <color theme="3" tint="-0.24994659260841701"/>
      </top>
      <bottom style="hair">
        <color indexed="64"/>
      </bottom>
      <diagonal/>
    </border>
    <border>
      <left style="thin">
        <color theme="3" tint="-0.2499465926084170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3" tint="-0.24994659260841701"/>
      </left>
      <right/>
      <top style="hair">
        <color indexed="64"/>
      </top>
      <bottom style="thin">
        <color theme="3" tint="-0.24994659260841701"/>
      </bottom>
      <diagonal/>
    </border>
    <border>
      <left/>
      <right style="thin">
        <color theme="3" tint="-0.24994659260841701"/>
      </right>
      <top style="hair">
        <color indexed="64"/>
      </top>
      <bottom style="thin">
        <color theme="3" tint="-0.24994659260841701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45066682943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9" tint="0.39994506668294322"/>
      </left>
      <right style="thin">
        <color theme="9" tint="0.39994506668294322"/>
      </right>
      <top/>
      <bottom style="thin">
        <color theme="9" tint="0.39994506668294322"/>
      </bottom>
      <diagonal/>
    </border>
  </borders>
  <cellStyleXfs count="53">
    <xf numFmtId="0" fontId="0" fillId="0" borderId="0"/>
    <xf numFmtId="43" fontId="3" fillId="0" borderId="0" applyFont="0" applyFill="0" applyBorder="0" applyAlignment="0" applyProtection="0"/>
    <xf numFmtId="0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2" fillId="0" borderId="0"/>
    <xf numFmtId="0" fontId="16" fillId="0" borderId="0"/>
    <xf numFmtId="0" fontId="7" fillId="0" borderId="0"/>
    <xf numFmtId="0" fontId="2" fillId="0" borderId="0"/>
    <xf numFmtId="0" fontId="3" fillId="0" borderId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26" borderId="0" applyNumberFormat="0" applyBorder="0" applyAlignment="0" applyProtection="0"/>
    <xf numFmtId="0" fontId="55" fillId="29" borderId="0" applyNumberFormat="0" applyBorder="0" applyAlignment="0" applyProtection="0"/>
    <xf numFmtId="0" fontId="55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40" borderId="0" applyNumberFormat="0" applyBorder="0" applyAlignment="0" applyProtection="0"/>
    <xf numFmtId="0" fontId="57" fillId="24" borderId="0" applyNumberFormat="0" applyBorder="0" applyAlignment="0" applyProtection="0"/>
    <xf numFmtId="0" fontId="58" fillId="41" borderId="27" applyNumberFormat="0" applyAlignment="0" applyProtection="0"/>
    <xf numFmtId="0" fontId="59" fillId="42" borderId="28" applyNumberFormat="0" applyAlignment="0" applyProtection="0"/>
    <xf numFmtId="0" fontId="60" fillId="0" borderId="0" applyNumberFormat="0" applyFill="0" applyBorder="0" applyAlignment="0" applyProtection="0"/>
    <xf numFmtId="0" fontId="61" fillId="25" borderId="0" applyNumberFormat="0" applyBorder="0" applyAlignment="0" applyProtection="0"/>
    <xf numFmtId="0" fontId="62" fillId="0" borderId="29" applyNumberFormat="0" applyFill="0" applyAlignment="0" applyProtection="0"/>
    <xf numFmtId="0" fontId="63" fillId="0" borderId="30" applyNumberFormat="0" applyFill="0" applyAlignment="0" applyProtection="0"/>
    <xf numFmtId="0" fontId="64" fillId="0" borderId="31" applyNumberFormat="0" applyFill="0" applyAlignment="0" applyProtection="0"/>
    <xf numFmtId="0" fontId="64" fillId="0" borderId="0" applyNumberFormat="0" applyFill="0" applyBorder="0" applyAlignment="0" applyProtection="0"/>
    <xf numFmtId="0" fontId="65" fillId="28" borderId="27" applyNumberFormat="0" applyAlignment="0" applyProtection="0"/>
    <xf numFmtId="0" fontId="66" fillId="0" borderId="32" applyNumberFormat="0" applyFill="0" applyAlignment="0" applyProtection="0"/>
    <xf numFmtId="0" fontId="67" fillId="43" borderId="0" applyNumberFormat="0" applyBorder="0" applyAlignment="0" applyProtection="0"/>
    <xf numFmtId="0" fontId="3" fillId="44" borderId="33" applyNumberFormat="0" applyFont="0" applyAlignment="0" applyProtection="0"/>
    <xf numFmtId="0" fontId="68" fillId="41" borderId="34" applyNumberFormat="0" applyAlignment="0" applyProtection="0"/>
    <xf numFmtId="0" fontId="69" fillId="0" borderId="0" applyNumberFormat="0" applyFill="0" applyBorder="0" applyAlignment="0" applyProtection="0"/>
    <xf numFmtId="0" fontId="70" fillId="0" borderId="35" applyNumberFormat="0" applyFill="0" applyAlignment="0" applyProtection="0"/>
    <xf numFmtId="0" fontId="71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958">
    <xf numFmtId="0" fontId="0" fillId="0" borderId="0" xfId="0"/>
    <xf numFmtId="0" fontId="0" fillId="0" borderId="0" xfId="0" applyFill="1"/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18" fillId="0" borderId="0" xfId="0" applyFont="1" applyFill="1"/>
    <xf numFmtId="0" fontId="18" fillId="0" borderId="0" xfId="0" applyFont="1" applyFill="1" applyBorder="1"/>
    <xf numFmtId="0" fontId="19" fillId="0" borderId="0" xfId="0" applyFont="1" applyFill="1" applyAlignment="1">
      <alignment vertical="center"/>
    </xf>
    <xf numFmtId="0" fontId="20" fillId="0" borderId="0" xfId="0" applyFont="1" applyFill="1"/>
    <xf numFmtId="0" fontId="20" fillId="0" borderId="0" xfId="0" applyFont="1" applyFill="1" applyBorder="1"/>
    <xf numFmtId="2" fontId="18" fillId="0" borderId="0" xfId="0" applyNumberFormat="1" applyFont="1" applyFill="1" applyBorder="1"/>
    <xf numFmtId="2" fontId="20" fillId="0" borderId="0" xfId="0" applyNumberFormat="1" applyFont="1" applyFill="1" applyBorder="1"/>
    <xf numFmtId="2" fontId="21" fillId="0" borderId="0" xfId="0" applyNumberFormat="1" applyFont="1" applyFill="1" applyBorder="1"/>
    <xf numFmtId="0" fontId="21" fillId="0" borderId="0" xfId="0" applyFont="1" applyFill="1" applyBorder="1"/>
    <xf numFmtId="0" fontId="21" fillId="0" borderId="0" xfId="0" applyFont="1" applyFill="1"/>
    <xf numFmtId="0" fontId="7" fillId="0" borderId="3" xfId="0" applyFont="1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11" fillId="0" borderId="3" xfId="0" applyFont="1" applyFill="1" applyBorder="1" applyAlignment="1">
      <alignment vertical="top" wrapText="1"/>
    </xf>
    <xf numFmtId="0" fontId="11" fillId="0" borderId="3" xfId="0" applyFont="1" applyFill="1" applyBorder="1" applyAlignment="1">
      <alignment horizontal="left" vertical="top" wrapText="1"/>
    </xf>
    <xf numFmtId="0" fontId="0" fillId="0" borderId="4" xfId="0" applyFill="1" applyBorder="1"/>
    <xf numFmtId="0" fontId="0" fillId="0" borderId="0" xfId="0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0" fillId="0" borderId="5" xfId="0" applyFill="1" applyBorder="1"/>
    <xf numFmtId="0" fontId="7" fillId="0" borderId="0" xfId="0" applyFont="1" applyFill="1" applyBorder="1" applyAlignment="1">
      <alignment vertical="top" wrapText="1"/>
    </xf>
    <xf numFmtId="0" fontId="17" fillId="0" borderId="0" xfId="4" applyFill="1" applyBorder="1" applyAlignment="1" applyProtection="1">
      <alignment vertical="center"/>
    </xf>
    <xf numFmtId="0" fontId="6" fillId="6" borderId="6" xfId="0" applyFont="1" applyFill="1" applyBorder="1" applyAlignment="1">
      <alignment horizontal="center" vertical="center"/>
    </xf>
    <xf numFmtId="0" fontId="34" fillId="0" borderId="0" xfId="0" applyFont="1"/>
    <xf numFmtId="0" fontId="13" fillId="0" borderId="0" xfId="0" applyFont="1"/>
    <xf numFmtId="0" fontId="34" fillId="0" borderId="0" xfId="0" applyFont="1" applyAlignment="1">
      <alignment horizontal="left" readingOrder="2"/>
    </xf>
    <xf numFmtId="0" fontId="18" fillId="11" borderId="0" xfId="0" applyFont="1" applyFill="1"/>
    <xf numFmtId="0" fontId="8" fillId="2" borderId="6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33" fillId="11" borderId="0" xfId="0" applyFont="1" applyFill="1" applyBorder="1" applyAlignment="1">
      <alignment vertical="center"/>
    </xf>
    <xf numFmtId="0" fontId="33" fillId="11" borderId="19" xfId="0" applyFont="1" applyFill="1" applyBorder="1" applyAlignment="1">
      <alignment vertical="center"/>
    </xf>
    <xf numFmtId="0" fontId="18" fillId="11" borderId="0" xfId="0" applyFont="1" applyFill="1" applyBorder="1"/>
    <xf numFmtId="0" fontId="18" fillId="11" borderId="0" xfId="0" quotePrefix="1" applyFont="1" applyFill="1"/>
    <xf numFmtId="165" fontId="22" fillId="3" borderId="6" xfId="0" applyNumberFormat="1" applyFont="1" applyFill="1" applyBorder="1" applyAlignment="1">
      <alignment horizontal="center" vertical="center"/>
    </xf>
    <xf numFmtId="0" fontId="35" fillId="13" borderId="9" xfId="0" applyFont="1" applyFill="1" applyBorder="1" applyAlignment="1">
      <alignment vertical="center"/>
    </xf>
    <xf numFmtId="0" fontId="35" fillId="13" borderId="16" xfId="0" applyFont="1" applyFill="1" applyBorder="1" applyAlignment="1">
      <alignment vertical="center"/>
    </xf>
    <xf numFmtId="165" fontId="22" fillId="12" borderId="1" xfId="0" applyNumberFormat="1" applyFont="1" applyFill="1" applyBorder="1" applyAlignment="1">
      <alignment horizontal="center"/>
    </xf>
    <xf numFmtId="164" fontId="22" fillId="12" borderId="1" xfId="0" applyNumberFormat="1" applyFont="1" applyFill="1" applyBorder="1" applyAlignment="1">
      <alignment horizontal="right"/>
    </xf>
    <xf numFmtId="166" fontId="22" fillId="12" borderId="1" xfId="0" applyNumberFormat="1" applyFont="1" applyFill="1" applyBorder="1"/>
    <xf numFmtId="0" fontId="32" fillId="13" borderId="8" xfId="0" applyFont="1" applyFill="1" applyBorder="1" applyAlignment="1">
      <alignment vertical="center"/>
    </xf>
    <xf numFmtId="0" fontId="32" fillId="13" borderId="9" xfId="0" applyFont="1" applyFill="1" applyBorder="1" applyAlignment="1">
      <alignment vertical="center"/>
    </xf>
    <xf numFmtId="0" fontId="32" fillId="13" borderId="16" xfId="0" applyFont="1" applyFill="1" applyBorder="1" applyAlignment="1">
      <alignment vertical="center"/>
    </xf>
    <xf numFmtId="0" fontId="22" fillId="8" borderId="13" xfId="0" applyFont="1" applyFill="1" applyBorder="1" applyAlignment="1">
      <alignment horizontal="center"/>
    </xf>
    <xf numFmtId="2" fontId="22" fillId="8" borderId="13" xfId="0" applyNumberFormat="1" applyFont="1" applyFill="1" applyBorder="1" applyAlignment="1">
      <alignment horizontal="right"/>
    </xf>
    <xf numFmtId="2" fontId="22" fillId="8" borderId="13" xfId="0" applyNumberFormat="1" applyFont="1" applyFill="1" applyBorder="1" applyAlignment="1">
      <alignment vertical="center"/>
    </xf>
    <xf numFmtId="0" fontId="10" fillId="11" borderId="21" xfId="0" applyFont="1" applyFill="1" applyBorder="1" applyAlignment="1">
      <alignment horizontal="center" vertical="center"/>
    </xf>
    <xf numFmtId="0" fontId="10" fillId="11" borderId="21" xfId="0" applyFont="1" applyFill="1" applyBorder="1" applyAlignment="1">
      <alignment horizontal="left" vertical="center"/>
    </xf>
    <xf numFmtId="0" fontId="10" fillId="11" borderId="21" xfId="0" applyFont="1" applyFill="1" applyBorder="1" applyAlignment="1">
      <alignment horizontal="center"/>
    </xf>
    <xf numFmtId="2" fontId="10" fillId="11" borderId="21" xfId="0" applyNumberFormat="1" applyFont="1" applyFill="1" applyBorder="1" applyAlignment="1">
      <alignment horizontal="right" vertical="center"/>
    </xf>
    <xf numFmtId="0" fontId="10" fillId="11" borderId="21" xfId="0" applyFont="1" applyFill="1" applyBorder="1" applyAlignment="1">
      <alignment horizontal="left" vertical="center" wrapText="1"/>
    </xf>
    <xf numFmtId="165" fontId="23" fillId="12" borderId="2" xfId="0" applyNumberFormat="1" applyFont="1" applyFill="1" applyBorder="1" applyAlignment="1">
      <alignment horizontal="center" vertical="center"/>
    </xf>
    <xf numFmtId="165" fontId="23" fillId="12" borderId="2" xfId="0" applyNumberFormat="1" applyFont="1" applyFill="1" applyBorder="1" applyAlignment="1">
      <alignment vertical="center"/>
    </xf>
    <xf numFmtId="0" fontId="3" fillId="11" borderId="21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left" vertical="center" wrapText="1"/>
    </xf>
    <xf numFmtId="2" fontId="3" fillId="11" borderId="21" xfId="0" applyNumberFormat="1" applyFont="1" applyFill="1" applyBorder="1" applyAlignment="1">
      <alignment horizontal="right" vertical="center"/>
    </xf>
    <xf numFmtId="0" fontId="16" fillId="11" borderId="21" xfId="0" applyFont="1" applyFill="1" applyBorder="1" applyAlignment="1">
      <alignment horizontal="left" vertical="center"/>
    </xf>
    <xf numFmtId="0" fontId="16" fillId="11" borderId="21" xfId="0" applyFont="1" applyFill="1" applyBorder="1" applyAlignment="1">
      <alignment horizontal="center" vertical="center"/>
    </xf>
    <xf numFmtId="0" fontId="16" fillId="11" borderId="21" xfId="0" applyFont="1" applyFill="1" applyBorder="1" applyAlignment="1">
      <alignment horizontal="left"/>
    </xf>
    <xf numFmtId="2" fontId="16" fillId="11" borderId="21" xfId="0" applyNumberFormat="1" applyFont="1" applyFill="1" applyBorder="1" applyAlignment="1">
      <alignment horizontal="left" vertical="center"/>
    </xf>
    <xf numFmtId="0" fontId="10" fillId="11" borderId="21" xfId="0" applyFont="1" applyFill="1" applyBorder="1"/>
    <xf numFmtId="0" fontId="16" fillId="11" borderId="21" xfId="0" applyFont="1" applyFill="1" applyBorder="1" applyAlignment="1">
      <alignment wrapText="1"/>
    </xf>
    <xf numFmtId="0" fontId="16" fillId="11" borderId="21" xfId="0" applyFont="1" applyFill="1" applyBorder="1" applyAlignment="1">
      <alignment vertical="top" wrapText="1"/>
    </xf>
    <xf numFmtId="165" fontId="23" fillId="4" borderId="13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1" fontId="16" fillId="11" borderId="21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vertical="top"/>
    </xf>
    <xf numFmtId="0" fontId="36" fillId="0" borderId="22" xfId="0" applyFont="1" applyFill="1" applyBorder="1" applyAlignment="1">
      <alignment vertical="top" wrapText="1"/>
    </xf>
    <xf numFmtId="0" fontId="36" fillId="11" borderId="1" xfId="0" applyFont="1" applyFill="1" applyBorder="1" applyAlignment="1">
      <alignment horizontal="left" vertical="center" wrapText="1"/>
    </xf>
    <xf numFmtId="0" fontId="36" fillId="11" borderId="1" xfId="0" applyFont="1" applyFill="1" applyBorder="1" applyAlignment="1">
      <alignment horizontal="center" vertical="center"/>
    </xf>
    <xf numFmtId="0" fontId="37" fillId="11" borderId="1" xfId="0" applyFont="1" applyFill="1" applyBorder="1" applyAlignment="1">
      <alignment horizontal="center" vertical="center"/>
    </xf>
    <xf numFmtId="0" fontId="37" fillId="11" borderId="1" xfId="0" applyFont="1" applyFill="1" applyBorder="1" applyAlignment="1">
      <alignment horizontal="left"/>
    </xf>
    <xf numFmtId="0" fontId="37" fillId="11" borderId="1" xfId="0" applyFont="1" applyFill="1" applyBorder="1"/>
    <xf numFmtId="0" fontId="37" fillId="11" borderId="1" xfId="0" applyFont="1" applyFill="1" applyBorder="1" applyAlignment="1">
      <alignment wrapText="1"/>
    </xf>
    <xf numFmtId="0" fontId="36" fillId="11" borderId="1" xfId="0" applyFont="1" applyFill="1" applyBorder="1"/>
    <xf numFmtId="0" fontId="0" fillId="0" borderId="0" xfId="0" applyBorder="1"/>
    <xf numFmtId="0" fontId="8" fillId="0" borderId="0" xfId="0" applyFont="1" applyBorder="1"/>
    <xf numFmtId="0" fontId="28" fillId="11" borderId="0" xfId="9" applyFont="1" applyFill="1" applyBorder="1" applyAlignment="1">
      <alignment vertical="center"/>
    </xf>
    <xf numFmtId="0" fontId="29" fillId="11" borderId="0" xfId="9" applyFont="1" applyFill="1" applyBorder="1" applyAlignment="1">
      <alignment vertical="center"/>
    </xf>
    <xf numFmtId="0" fontId="25" fillId="17" borderId="23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0" fillId="0" borderId="23" xfId="0" applyBorder="1"/>
    <xf numFmtId="0" fontId="10" fillId="0" borderId="23" xfId="0" applyFont="1" applyFill="1" applyBorder="1" applyAlignment="1">
      <alignment horizontal="center" vertical="center"/>
    </xf>
    <xf numFmtId="0" fontId="16" fillId="11" borderId="23" xfId="0" applyFont="1" applyFill="1" applyBorder="1" applyAlignment="1">
      <alignment horizontal="left" vertical="center" wrapText="1"/>
    </xf>
    <xf numFmtId="0" fontId="16" fillId="11" borderId="23" xfId="0" applyFont="1" applyFill="1" applyBorder="1" applyAlignment="1">
      <alignment horizontal="center" vertical="center" wrapText="1"/>
    </xf>
    <xf numFmtId="0" fontId="16" fillId="11" borderId="23" xfId="0" applyFont="1" applyFill="1" applyBorder="1" applyAlignment="1">
      <alignment horizontal="center" vertical="center"/>
    </xf>
    <xf numFmtId="0" fontId="49" fillId="0" borderId="23" xfId="0" applyFont="1" applyBorder="1" applyAlignment="1">
      <alignment horizontal="center" vertical="center"/>
    </xf>
    <xf numFmtId="0" fontId="16" fillId="0" borderId="23" xfId="0" applyFont="1" applyBorder="1" applyAlignment="1">
      <alignment wrapText="1"/>
    </xf>
    <xf numFmtId="0" fontId="16" fillId="0" borderId="23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left" wrapText="1"/>
    </xf>
    <xf numFmtId="0" fontId="16" fillId="0" borderId="23" xfId="0" applyFont="1" applyBorder="1" applyAlignment="1">
      <alignment horizontal="center" vertical="center"/>
    </xf>
    <xf numFmtId="0" fontId="16" fillId="11" borderId="23" xfId="0" applyFont="1" applyFill="1" applyBorder="1" applyAlignment="1">
      <alignment horizontal="left" wrapText="1"/>
    </xf>
    <xf numFmtId="0" fontId="10" fillId="0" borderId="23" xfId="0" applyFont="1" applyFill="1" applyBorder="1" applyAlignment="1">
      <alignment horizontal="left" vertical="center" wrapText="1"/>
    </xf>
    <xf numFmtId="0" fontId="16" fillId="0" borderId="23" xfId="0" applyFont="1" applyBorder="1" applyAlignment="1">
      <alignment vertical="center" wrapText="1"/>
    </xf>
    <xf numFmtId="0" fontId="9" fillId="11" borderId="23" xfId="0" applyFont="1" applyFill="1" applyBorder="1" applyAlignment="1">
      <alignment horizontal="center" vertical="center"/>
    </xf>
    <xf numFmtId="0" fontId="29" fillId="11" borderId="23" xfId="0" applyFont="1" applyFill="1" applyBorder="1" applyAlignment="1">
      <alignment horizontal="center" vertical="center"/>
    </xf>
    <xf numFmtId="0" fontId="3" fillId="11" borderId="23" xfId="0" applyFont="1" applyFill="1" applyBorder="1" applyAlignment="1">
      <alignment horizontal="left" vertical="center" wrapText="1"/>
    </xf>
    <xf numFmtId="0" fontId="3" fillId="11" borderId="23" xfId="0" applyFont="1" applyFill="1" applyBorder="1" applyAlignment="1">
      <alignment horizontal="center" vertical="center"/>
    </xf>
    <xf numFmtId="2" fontId="3" fillId="11" borderId="23" xfId="0" applyNumberFormat="1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center" vertical="center"/>
    </xf>
    <xf numFmtId="0" fontId="16" fillId="0" borderId="23" xfId="0" applyFont="1" applyBorder="1" applyAlignment="1">
      <alignment vertical="center"/>
    </xf>
    <xf numFmtId="0" fontId="30" fillId="7" borderId="23" xfId="0" applyFont="1" applyFill="1" applyBorder="1" applyAlignment="1">
      <alignment vertical="center"/>
    </xf>
    <xf numFmtId="0" fontId="30" fillId="7" borderId="23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vertical="center" wrapText="1"/>
    </xf>
    <xf numFmtId="0" fontId="9" fillId="7" borderId="23" xfId="0" applyFont="1" applyFill="1" applyBorder="1" applyAlignment="1">
      <alignment horizontal="left" vertical="center"/>
    </xf>
    <xf numFmtId="0" fontId="9" fillId="7" borderId="23" xfId="0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vertical="center"/>
    </xf>
    <xf numFmtId="0" fontId="30" fillId="7" borderId="23" xfId="0" applyFont="1" applyFill="1" applyBorder="1" applyAlignment="1">
      <alignment horizontal="center" vertical="center"/>
    </xf>
    <xf numFmtId="0" fontId="9" fillId="11" borderId="23" xfId="0" applyFont="1" applyFill="1" applyBorder="1" applyAlignment="1">
      <alignment vertical="center"/>
    </xf>
    <xf numFmtId="0" fontId="29" fillId="0" borderId="23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vertical="center"/>
    </xf>
    <xf numFmtId="0" fontId="29" fillId="0" borderId="23" xfId="0" applyFont="1" applyFill="1" applyBorder="1" applyAlignment="1">
      <alignment horizontal="left"/>
    </xf>
    <xf numFmtId="0" fontId="29" fillId="0" borderId="23" xfId="0" applyFont="1" applyFill="1" applyBorder="1" applyAlignment="1"/>
    <xf numFmtId="0" fontId="9" fillId="0" borderId="23" xfId="0" applyFont="1" applyFill="1" applyBorder="1" applyAlignment="1">
      <alignment vertical="top"/>
    </xf>
    <xf numFmtId="0" fontId="29" fillId="0" borderId="23" xfId="0" applyFont="1" applyFill="1" applyBorder="1" applyAlignment="1">
      <alignment horizontal="left" vertical="top"/>
    </xf>
    <xf numFmtId="0" fontId="29" fillId="0" borderId="23" xfId="0" applyFont="1" applyFill="1" applyBorder="1" applyAlignment="1">
      <alignment horizontal="center" vertical="top" wrapText="1"/>
    </xf>
    <xf numFmtId="0" fontId="29" fillId="0" borderId="23" xfId="0" applyFont="1" applyFill="1" applyBorder="1" applyAlignment="1">
      <alignment vertical="top" wrapText="1"/>
    </xf>
    <xf numFmtId="0" fontId="31" fillId="0" borderId="23" xfId="0" applyFont="1" applyFill="1" applyBorder="1"/>
    <xf numFmtId="0" fontId="9" fillId="0" borderId="23" xfId="0" applyFont="1" applyFill="1" applyBorder="1" applyAlignment="1">
      <alignment horizontal="left" vertical="center"/>
    </xf>
    <xf numFmtId="0" fontId="31" fillId="0" borderId="23" xfId="0" applyFont="1" applyFill="1" applyBorder="1" applyAlignment="1">
      <alignment horizontal="left"/>
    </xf>
    <xf numFmtId="0" fontId="31" fillId="0" borderId="23" xfId="0" applyFont="1" applyFill="1" applyBorder="1" applyAlignment="1"/>
    <xf numFmtId="0" fontId="47" fillId="0" borderId="23" xfId="0" applyFont="1" applyFill="1" applyBorder="1" applyAlignment="1">
      <alignment vertical="top"/>
    </xf>
    <xf numFmtId="0" fontId="46" fillId="0" borderId="23" xfId="0" applyFont="1" applyFill="1" applyBorder="1" applyAlignment="1">
      <alignment horizontal="left" vertical="top"/>
    </xf>
    <xf numFmtId="0" fontId="46" fillId="0" borderId="23" xfId="0" applyFont="1" applyFill="1" applyBorder="1" applyAlignment="1">
      <alignment vertical="top"/>
    </xf>
    <xf numFmtId="0" fontId="29" fillId="0" borderId="23" xfId="0" applyFont="1" applyFill="1" applyBorder="1" applyAlignment="1">
      <alignment vertical="top"/>
    </xf>
    <xf numFmtId="0" fontId="28" fillId="6" borderId="23" xfId="9" applyFont="1" applyFill="1" applyBorder="1" applyAlignment="1">
      <alignment horizontal="center" vertical="center"/>
    </xf>
    <xf numFmtId="0" fontId="26" fillId="0" borderId="23" xfId="9" applyFont="1" applyBorder="1" applyAlignment="1">
      <alignment horizontal="center" vertical="center"/>
    </xf>
    <xf numFmtId="0" fontId="26" fillId="11" borderId="23" xfId="9" applyFont="1" applyFill="1" applyBorder="1" applyAlignment="1">
      <alignment horizontal="center" vertical="center"/>
    </xf>
    <xf numFmtId="0" fontId="26" fillId="19" borderId="23" xfId="9" applyFont="1" applyFill="1" applyBorder="1" applyAlignment="1">
      <alignment horizontal="center" vertical="center"/>
    </xf>
    <xf numFmtId="0" fontId="28" fillId="19" borderId="23" xfId="9" applyFont="1" applyFill="1" applyBorder="1" applyAlignment="1">
      <alignment horizontal="center" vertical="center"/>
    </xf>
    <xf numFmtId="2" fontId="28" fillId="19" borderId="23" xfId="9" applyNumberFormat="1" applyFont="1" applyFill="1" applyBorder="1" applyAlignment="1">
      <alignment vertical="center"/>
    </xf>
    <xf numFmtId="0" fontId="39" fillId="19" borderId="23" xfId="9" applyFont="1" applyFill="1" applyBorder="1" applyAlignment="1">
      <alignment horizontal="center" vertical="center"/>
    </xf>
    <xf numFmtId="0" fontId="44" fillId="18" borderId="23" xfId="0" applyFont="1" applyFill="1" applyBorder="1" applyAlignment="1"/>
    <xf numFmtId="0" fontId="18" fillId="11" borderId="23" xfId="0" applyFont="1" applyFill="1" applyBorder="1"/>
    <xf numFmtId="2" fontId="10" fillId="0" borderId="23" xfId="0" applyNumberFormat="1" applyFont="1" applyFill="1" applyBorder="1" applyAlignment="1">
      <alignment vertical="center" wrapText="1"/>
    </xf>
    <xf numFmtId="0" fontId="10" fillId="11" borderId="23" xfId="0" applyFont="1" applyFill="1" applyBorder="1" applyAlignment="1">
      <alignment horizontal="center" vertical="center" wrapText="1"/>
    </xf>
    <xf numFmtId="0" fontId="10" fillId="11" borderId="23" xfId="0" applyFont="1" applyFill="1" applyBorder="1" applyAlignment="1">
      <alignment vertical="center" wrapText="1"/>
    </xf>
    <xf numFmtId="0" fontId="10" fillId="11" borderId="23" xfId="0" applyFont="1" applyFill="1" applyBorder="1" applyAlignment="1">
      <alignment horizontal="left" vertical="center" wrapText="1"/>
    </xf>
    <xf numFmtId="0" fontId="10" fillId="11" borderId="23" xfId="0" quotePrefix="1" applyFont="1" applyFill="1" applyBorder="1" applyAlignment="1">
      <alignment horizontal="center" vertical="center" wrapText="1"/>
    </xf>
    <xf numFmtId="2" fontId="10" fillId="11" borderId="23" xfId="0" applyNumberFormat="1" applyFont="1" applyFill="1" applyBorder="1" applyAlignment="1">
      <alignment vertical="center" wrapText="1"/>
    </xf>
    <xf numFmtId="2" fontId="20" fillId="11" borderId="23" xfId="0" applyNumberFormat="1" applyFont="1" applyFill="1" applyBorder="1" applyAlignment="1">
      <alignment horizontal="right" vertical="center"/>
    </xf>
    <xf numFmtId="0" fontId="15" fillId="0" borderId="23" xfId="0" applyFont="1" applyFill="1" applyBorder="1" applyAlignment="1">
      <alignment horizontal="center" vertical="center"/>
    </xf>
    <xf numFmtId="2" fontId="10" fillId="0" borderId="23" xfId="0" applyNumberFormat="1" applyFont="1" applyFill="1" applyBorder="1" applyAlignment="1">
      <alignment horizontal="right" vertical="center"/>
    </xf>
    <xf numFmtId="2" fontId="10" fillId="0" borderId="23" xfId="0" applyNumberFormat="1" applyFont="1" applyFill="1" applyBorder="1" applyAlignment="1">
      <alignment horizontal="right" vertical="center" wrapText="1"/>
    </xf>
    <xf numFmtId="0" fontId="0" fillId="7" borderId="0" xfId="0" applyFill="1" applyBorder="1"/>
    <xf numFmtId="0" fontId="38" fillId="14" borderId="23" xfId="0" applyFont="1" applyFill="1" applyBorder="1" applyAlignment="1">
      <alignment horizontal="left" vertical="center"/>
    </xf>
    <xf numFmtId="0" fontId="0" fillId="14" borderId="0" xfId="0" applyFill="1" applyBorder="1"/>
    <xf numFmtId="0" fontId="41" fillId="14" borderId="23" xfId="0" applyFont="1" applyFill="1" applyBorder="1" applyAlignment="1">
      <alignment horizontal="left" vertical="top"/>
    </xf>
    <xf numFmtId="0" fontId="10" fillId="14" borderId="23" xfId="0" applyFont="1" applyFill="1" applyBorder="1" applyAlignment="1">
      <alignment horizontal="center"/>
    </xf>
    <xf numFmtId="0" fontId="10" fillId="14" borderId="23" xfId="0" applyFont="1" applyFill="1" applyBorder="1" applyAlignment="1">
      <alignment horizontal="center" vertical="center"/>
    </xf>
    <xf numFmtId="2" fontId="10" fillId="14" borderId="23" xfId="0" applyNumberFormat="1" applyFont="1" applyFill="1" applyBorder="1" applyAlignment="1">
      <alignment vertical="center"/>
    </xf>
    <xf numFmtId="0" fontId="42" fillId="7" borderId="23" xfId="0" applyFont="1" applyFill="1" applyBorder="1" applyAlignment="1">
      <alignment horizontal="left" vertical="center"/>
    </xf>
    <xf numFmtId="0" fontId="5" fillId="7" borderId="23" xfId="0" applyFont="1" applyFill="1" applyBorder="1" applyAlignment="1">
      <alignment vertical="center"/>
    </xf>
    <xf numFmtId="0" fontId="5" fillId="7" borderId="23" xfId="0" applyFont="1" applyFill="1" applyBorder="1" applyAlignment="1">
      <alignment horizontal="left" vertical="center"/>
    </xf>
    <xf numFmtId="0" fontId="5" fillId="7" borderId="23" xfId="0" applyFont="1" applyFill="1" applyBorder="1" applyAlignment="1">
      <alignment horizontal="left" vertical="center" wrapText="1"/>
    </xf>
    <xf numFmtId="0" fontId="5" fillId="7" borderId="23" xfId="0" applyFont="1" applyFill="1" applyBorder="1" applyAlignment="1">
      <alignment vertical="center" wrapText="1"/>
    </xf>
    <xf numFmtId="0" fontId="9" fillId="7" borderId="23" xfId="0" applyFont="1" applyFill="1" applyBorder="1" applyAlignment="1">
      <alignment horizontal="left"/>
    </xf>
    <xf numFmtId="0" fontId="9" fillId="7" borderId="23" xfId="0" applyFont="1" applyFill="1" applyBorder="1" applyAlignment="1"/>
    <xf numFmtId="0" fontId="18" fillId="7" borderId="23" xfId="0" applyFont="1" applyFill="1" applyBorder="1"/>
    <xf numFmtId="0" fontId="18" fillId="7" borderId="23" xfId="0" applyFont="1" applyFill="1" applyBorder="1" applyAlignment="1">
      <alignment horizontal="left"/>
    </xf>
    <xf numFmtId="0" fontId="18" fillId="7" borderId="23" xfId="0" applyFont="1" applyFill="1" applyBorder="1" applyAlignment="1"/>
    <xf numFmtId="0" fontId="5" fillId="7" borderId="23" xfId="0" applyFont="1" applyFill="1" applyBorder="1" applyAlignment="1">
      <alignment horizontal="left"/>
    </xf>
    <xf numFmtId="0" fontId="5" fillId="7" borderId="23" xfId="0" applyFont="1" applyFill="1" applyBorder="1" applyAlignment="1"/>
    <xf numFmtId="0" fontId="3" fillId="7" borderId="23" xfId="0" applyFont="1" applyFill="1" applyBorder="1" applyAlignment="1">
      <alignment horizontal="left"/>
    </xf>
    <xf numFmtId="0" fontId="10" fillId="7" borderId="23" xfId="0" applyFont="1" applyFill="1" applyBorder="1" applyAlignment="1">
      <alignment vertical="top" wrapText="1"/>
    </xf>
    <xf numFmtId="0" fontId="10" fillId="7" borderId="23" xfId="0" applyFont="1" applyFill="1" applyBorder="1" applyAlignment="1">
      <alignment horizontal="left" vertical="top" wrapText="1"/>
    </xf>
    <xf numFmtId="0" fontId="10" fillId="7" borderId="23" xfId="0" applyFont="1" applyFill="1" applyBorder="1" applyAlignment="1">
      <alignment horizontal="center" vertical="top" wrapText="1"/>
    </xf>
    <xf numFmtId="1" fontId="10" fillId="7" borderId="23" xfId="0" applyNumberFormat="1" applyFont="1" applyFill="1" applyBorder="1" applyAlignment="1">
      <alignment horizontal="center" vertical="top" wrapText="1"/>
    </xf>
    <xf numFmtId="0" fontId="3" fillId="7" borderId="23" xfId="0" applyFont="1" applyFill="1" applyBorder="1" applyAlignment="1"/>
    <xf numFmtId="0" fontId="3" fillId="7" borderId="23" xfId="0" applyFont="1" applyFill="1" applyBorder="1"/>
    <xf numFmtId="2" fontId="16" fillId="11" borderId="23" xfId="0" applyNumberFormat="1" applyFont="1" applyFill="1" applyBorder="1" applyAlignment="1">
      <alignment horizontal="right" vertical="center"/>
    </xf>
    <xf numFmtId="0" fontId="16" fillId="11" borderId="23" xfId="0" applyFont="1" applyFill="1" applyBorder="1" applyAlignment="1">
      <alignment horizontal="right" vertical="center"/>
    </xf>
    <xf numFmtId="0" fontId="16" fillId="0" borderId="23" xfId="0" applyFont="1" applyBorder="1" applyAlignment="1">
      <alignment horizontal="right" vertical="center"/>
    </xf>
    <xf numFmtId="0" fontId="50" fillId="7" borderId="23" xfId="0" applyFont="1" applyFill="1" applyBorder="1" applyAlignment="1">
      <alignment vertical="center"/>
    </xf>
    <xf numFmtId="0" fontId="41" fillId="7" borderId="23" xfId="0" applyFont="1" applyFill="1" applyBorder="1" applyAlignment="1">
      <alignment vertical="center"/>
    </xf>
    <xf numFmtId="0" fontId="41" fillId="7" borderId="23" xfId="0" applyFont="1" applyFill="1" applyBorder="1" applyAlignment="1">
      <alignment horizontal="left" vertical="center"/>
    </xf>
    <xf numFmtId="0" fontId="31" fillId="0" borderId="23" xfId="0" applyFont="1" applyFill="1" applyBorder="1" applyAlignment="1">
      <alignment horizontal="center" vertical="center" wrapText="1"/>
    </xf>
    <xf numFmtId="0" fontId="51" fillId="0" borderId="23" xfId="0" applyFont="1" applyFill="1" applyBorder="1" applyAlignment="1">
      <alignment horizontal="left" vertical="center"/>
    </xf>
    <xf numFmtId="0" fontId="52" fillId="0" borderId="23" xfId="0" applyFont="1" applyFill="1" applyBorder="1" applyAlignment="1">
      <alignment horizontal="left" vertical="center"/>
    </xf>
    <xf numFmtId="0" fontId="51" fillId="0" borderId="24" xfId="0" applyFont="1" applyFill="1" applyBorder="1" applyAlignment="1">
      <alignment horizontal="left" vertical="center"/>
    </xf>
    <xf numFmtId="0" fontId="51" fillId="0" borderId="23" xfId="0" applyFont="1" applyFill="1" applyBorder="1" applyAlignment="1">
      <alignment horizontal="left" vertical="center" wrapText="1"/>
    </xf>
    <xf numFmtId="0" fontId="52" fillId="11" borderId="23" xfId="0" applyFont="1" applyFill="1" applyBorder="1" applyAlignment="1">
      <alignment horizontal="left" vertical="center"/>
    </xf>
    <xf numFmtId="0" fontId="28" fillId="10" borderId="23" xfId="9" applyFont="1" applyFill="1" applyBorder="1" applyAlignment="1">
      <alignment horizontal="center" vertical="center"/>
    </xf>
    <xf numFmtId="0" fontId="9" fillId="20" borderId="23" xfId="0" applyFont="1" applyFill="1" applyBorder="1" applyAlignment="1">
      <alignment horizontal="center" vertical="center" wrapText="1"/>
    </xf>
    <xf numFmtId="0" fontId="9" fillId="20" borderId="23" xfId="0" applyFont="1" applyFill="1" applyBorder="1" applyAlignment="1">
      <alignment horizontal="left" vertical="center" wrapText="1"/>
    </xf>
    <xf numFmtId="0" fontId="9" fillId="20" borderId="23" xfId="0" applyFont="1" applyFill="1" applyBorder="1" applyAlignment="1">
      <alignment horizontal="right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vertical="center"/>
    </xf>
    <xf numFmtId="0" fontId="54" fillId="13" borderId="23" xfId="0" applyFont="1" applyFill="1" applyBorder="1" applyAlignment="1">
      <alignment horizontal="center" vertical="center"/>
    </xf>
    <xf numFmtId="0" fontId="22" fillId="13" borderId="23" xfId="0" applyFont="1" applyFill="1" applyBorder="1" applyAlignment="1">
      <alignment horizontal="center" vertical="center"/>
    </xf>
    <xf numFmtId="0" fontId="0" fillId="22" borderId="23" xfId="0" applyFill="1" applyBorder="1" applyAlignment="1">
      <alignment horizontal="center" vertical="center"/>
    </xf>
    <xf numFmtId="0" fontId="0" fillId="22" borderId="23" xfId="0" applyFill="1" applyBorder="1" applyAlignment="1">
      <alignment horizontal="left" vertical="center"/>
    </xf>
    <xf numFmtId="0" fontId="0" fillId="7" borderId="23" xfId="0" applyFill="1" applyBorder="1" applyAlignment="1">
      <alignment horizontal="left" vertical="center"/>
    </xf>
    <xf numFmtId="0" fontId="0" fillId="7" borderId="23" xfId="0" applyFill="1" applyBorder="1" applyAlignment="1">
      <alignment horizontal="center" vertical="center"/>
    </xf>
    <xf numFmtId="2" fontId="0" fillId="7" borderId="23" xfId="0" applyNumberFormat="1" applyFill="1" applyBorder="1" applyAlignment="1">
      <alignment horizontal="right" vertical="center"/>
    </xf>
    <xf numFmtId="0" fontId="24" fillId="13" borderId="23" xfId="0" applyFont="1" applyFill="1" applyBorder="1" applyAlignment="1">
      <alignment horizontal="left" vertical="center"/>
    </xf>
    <xf numFmtId="0" fontId="24" fillId="13" borderId="23" xfId="0" applyFont="1" applyFill="1" applyBorder="1" applyAlignment="1">
      <alignment horizontal="center" vertical="center"/>
    </xf>
    <xf numFmtId="2" fontId="24" fillId="13" borderId="23" xfId="0" applyNumberFormat="1" applyFont="1" applyFill="1" applyBorder="1" applyAlignment="1">
      <alignment horizontal="right" vertical="center"/>
    </xf>
    <xf numFmtId="1" fontId="10" fillId="11" borderId="21" xfId="0" applyNumberFormat="1" applyFont="1" applyFill="1" applyBorder="1" applyAlignment="1">
      <alignment horizontal="center" vertical="center"/>
    </xf>
    <xf numFmtId="164" fontId="23" fillId="4" borderId="13" xfId="0" applyNumberFormat="1" applyFont="1" applyFill="1" applyBorder="1" applyAlignment="1">
      <alignment horizontal="right" vertical="center"/>
    </xf>
    <xf numFmtId="166" fontId="22" fillId="3" borderId="6" xfId="0" applyNumberFormat="1" applyFont="1" applyFill="1" applyBorder="1" applyAlignment="1">
      <alignment horizontal="right" vertical="center"/>
    </xf>
    <xf numFmtId="3" fontId="3" fillId="11" borderId="21" xfId="0" applyNumberFormat="1" applyFont="1" applyFill="1" applyBorder="1" applyAlignment="1">
      <alignment horizontal="center" vertical="center"/>
    </xf>
    <xf numFmtId="1" fontId="3" fillId="11" borderId="21" xfId="0" applyNumberFormat="1" applyFont="1" applyFill="1" applyBorder="1" applyAlignment="1">
      <alignment horizontal="center" vertical="center"/>
    </xf>
    <xf numFmtId="0" fontId="10" fillId="11" borderId="23" xfId="0" applyFont="1" applyFill="1" applyBorder="1" applyAlignment="1">
      <alignment horizontal="center" vertical="center"/>
    </xf>
    <xf numFmtId="2" fontId="0" fillId="22" borderId="23" xfId="0" applyNumberFormat="1" applyFill="1" applyBorder="1" applyAlignment="1">
      <alignment horizontal="right" vertical="center"/>
    </xf>
    <xf numFmtId="169" fontId="24" fillId="13" borderId="23" xfId="1" applyNumberFormat="1" applyFont="1" applyFill="1" applyBorder="1" applyAlignment="1">
      <alignment horizontal="center" vertical="center"/>
    </xf>
    <xf numFmtId="2" fontId="10" fillId="11" borderId="37" xfId="0" applyNumberFormat="1" applyFont="1" applyFill="1" applyBorder="1" applyAlignment="1">
      <alignment horizontal="right" vertical="center"/>
    </xf>
    <xf numFmtId="164" fontId="23" fillId="4" borderId="17" xfId="0" applyNumberFormat="1" applyFont="1" applyFill="1" applyBorder="1" applyAlignment="1">
      <alignment horizontal="right" vertical="center"/>
    </xf>
    <xf numFmtId="166" fontId="22" fillId="3" borderId="7" xfId="0" applyNumberFormat="1" applyFont="1" applyFill="1" applyBorder="1" applyAlignment="1">
      <alignment horizontal="right"/>
    </xf>
    <xf numFmtId="0" fontId="20" fillId="0" borderId="38" xfId="0" applyFont="1" applyFill="1" applyBorder="1"/>
    <xf numFmtId="0" fontId="18" fillId="0" borderId="38" xfId="0" applyFont="1" applyFill="1" applyBorder="1"/>
    <xf numFmtId="0" fontId="19" fillId="0" borderId="38" xfId="0" applyFont="1" applyFill="1" applyBorder="1" applyAlignment="1">
      <alignment vertical="center"/>
    </xf>
    <xf numFmtId="1" fontId="10" fillId="11" borderId="37" xfId="0" applyNumberFormat="1" applyFont="1" applyFill="1" applyBorder="1" applyAlignment="1">
      <alignment horizontal="center" vertical="center"/>
    </xf>
    <xf numFmtId="166" fontId="22" fillId="3" borderId="7" xfId="0" applyNumberFormat="1" applyFont="1" applyFill="1" applyBorder="1" applyAlignment="1">
      <alignment horizontal="right" vertical="center"/>
    </xf>
    <xf numFmtId="0" fontId="22" fillId="8" borderId="13" xfId="0" applyFont="1" applyFill="1" applyBorder="1" applyAlignment="1">
      <alignment horizontal="center" vertical="center"/>
    </xf>
    <xf numFmtId="2" fontId="22" fillId="8" borderId="13" xfId="0" applyNumberFormat="1" applyFont="1" applyFill="1" applyBorder="1" applyAlignment="1">
      <alignment horizontal="right" vertical="center"/>
    </xf>
    <xf numFmtId="2" fontId="22" fillId="8" borderId="17" xfId="0" applyNumberFormat="1" applyFont="1" applyFill="1" applyBorder="1" applyAlignment="1">
      <alignment horizontal="right" vertical="center"/>
    </xf>
    <xf numFmtId="0" fontId="20" fillId="0" borderId="47" xfId="0" applyFont="1" applyFill="1" applyBorder="1"/>
    <xf numFmtId="0" fontId="20" fillId="45" borderId="46" xfId="0" applyFont="1" applyFill="1" applyBorder="1" applyAlignment="1">
      <alignment vertical="center"/>
    </xf>
    <xf numFmtId="0" fontId="35" fillId="13" borderId="8" xfId="0" applyFont="1" applyFill="1" applyBorder="1" applyAlignment="1">
      <alignment vertical="center"/>
    </xf>
    <xf numFmtId="2" fontId="9" fillId="20" borderId="23" xfId="0" applyNumberFormat="1" applyFont="1" applyFill="1" applyBorder="1" applyAlignment="1">
      <alignment horizontal="right" vertical="center" wrapText="1"/>
    </xf>
    <xf numFmtId="0" fontId="36" fillId="0" borderId="1" xfId="0" applyFont="1" applyFill="1" applyBorder="1" applyAlignment="1">
      <alignment horizontal="center"/>
    </xf>
    <xf numFmtId="0" fontId="18" fillId="0" borderId="0" xfId="0" applyFont="1" applyFill="1" applyAlignment="1">
      <alignment horizontal="center" vertical="center"/>
    </xf>
    <xf numFmtId="1" fontId="9" fillId="20" borderId="23" xfId="0" applyNumberFormat="1" applyFont="1" applyFill="1" applyBorder="1" applyAlignment="1">
      <alignment horizontal="center" vertical="center" wrapText="1"/>
    </xf>
    <xf numFmtId="0" fontId="3" fillId="11" borderId="0" xfId="0" applyFont="1" applyFill="1" applyBorder="1"/>
    <xf numFmtId="0" fontId="10" fillId="0" borderId="23" xfId="0" applyFont="1" applyFill="1" applyBorder="1" applyAlignment="1">
      <alignment horizontal="left" vertical="top" wrapText="1"/>
    </xf>
    <xf numFmtId="0" fontId="10" fillId="0" borderId="23" xfId="0" applyFont="1" applyFill="1" applyBorder="1" applyAlignment="1">
      <alignment vertical="top"/>
    </xf>
    <xf numFmtId="0" fontId="3" fillId="0" borderId="0" xfId="0" applyFont="1" applyBorder="1"/>
    <xf numFmtId="0" fontId="10" fillId="0" borderId="23" xfId="0" applyFont="1" applyFill="1" applyBorder="1" applyAlignment="1">
      <alignment horizontal="center" vertical="top" wrapText="1"/>
    </xf>
    <xf numFmtId="2" fontId="10" fillId="0" borderId="23" xfId="0" applyNumberFormat="1" applyFont="1" applyFill="1" applyBorder="1" applyAlignment="1">
      <alignment horizontal="right" vertical="top" wrapText="1"/>
    </xf>
    <xf numFmtId="0" fontId="20" fillId="11" borderId="23" xfId="0" applyFont="1" applyFill="1" applyBorder="1" applyAlignment="1">
      <alignment horizontal="center" vertical="center"/>
    </xf>
    <xf numFmtId="0" fontId="20" fillId="11" borderId="23" xfId="0" applyFont="1" applyFill="1" applyBorder="1" applyAlignment="1">
      <alignment horizontal="left" vertical="center"/>
    </xf>
    <xf numFmtId="0" fontId="20" fillId="11" borderId="23" xfId="0" applyFont="1" applyFill="1" applyBorder="1" applyAlignment="1">
      <alignment horizontal="left" vertical="center" wrapText="1"/>
    </xf>
    <xf numFmtId="1" fontId="10" fillId="0" borderId="23" xfId="0" applyNumberFormat="1" applyFont="1" applyFill="1" applyBorder="1" applyAlignment="1">
      <alignment horizontal="center" vertical="center" wrapText="1"/>
    </xf>
    <xf numFmtId="0" fontId="9" fillId="11" borderId="23" xfId="9" applyFont="1" applyFill="1" applyBorder="1" applyAlignment="1">
      <alignment horizontal="center" vertical="center"/>
    </xf>
    <xf numFmtId="1" fontId="9" fillId="11" borderId="23" xfId="9" applyNumberFormat="1" applyFont="1" applyFill="1" applyBorder="1" applyAlignment="1">
      <alignment horizontal="center" vertical="center"/>
    </xf>
    <xf numFmtId="2" fontId="9" fillId="11" borderId="23" xfId="9" applyNumberFormat="1" applyFont="1" applyFill="1" applyBorder="1" applyAlignment="1">
      <alignment vertical="center"/>
    </xf>
    <xf numFmtId="0" fontId="10" fillId="0" borderId="10" xfId="0" applyFont="1" applyFill="1" applyBorder="1" applyAlignment="1">
      <alignment vertical="center" wrapText="1"/>
    </xf>
    <xf numFmtId="2" fontId="10" fillId="0" borderId="10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10" fillId="0" borderId="23" xfId="5" applyFont="1" applyFill="1" applyBorder="1" applyAlignment="1">
      <alignment vertical="top" wrapText="1"/>
    </xf>
    <xf numFmtId="3" fontId="10" fillId="0" borderId="23" xfId="5" applyNumberFormat="1" applyFont="1" applyFill="1" applyBorder="1" applyAlignment="1">
      <alignment horizontal="center" vertical="center" wrapText="1"/>
    </xf>
    <xf numFmtId="0" fontId="18" fillId="11" borderId="23" xfId="0" applyFont="1" applyFill="1" applyBorder="1" applyAlignment="1">
      <alignment vertical="center"/>
    </xf>
    <xf numFmtId="3" fontId="10" fillId="0" borderId="23" xfId="5" applyNumberFormat="1" applyFont="1" applyFill="1" applyBorder="1" applyAlignment="1">
      <alignment horizontal="center" vertical="center"/>
    </xf>
    <xf numFmtId="168" fontId="10" fillId="0" borderId="23" xfId="1" applyNumberFormat="1" applyFont="1" applyFill="1" applyBorder="1" applyAlignment="1">
      <alignment vertical="center" wrapText="1"/>
    </xf>
    <xf numFmtId="168" fontId="10" fillId="0" borderId="23" xfId="5" applyNumberFormat="1" applyFont="1" applyFill="1" applyBorder="1" applyAlignment="1">
      <alignment vertical="center"/>
    </xf>
    <xf numFmtId="168" fontId="3" fillId="0" borderId="23" xfId="0" applyNumberFormat="1" applyFont="1" applyBorder="1" applyAlignment="1">
      <alignment vertical="center"/>
    </xf>
    <xf numFmtId="0" fontId="10" fillId="0" borderId="23" xfId="0" applyFont="1" applyFill="1" applyBorder="1" applyAlignment="1">
      <alignment vertical="top" wrapText="1"/>
    </xf>
    <xf numFmtId="0" fontId="18" fillId="11" borderId="23" xfId="0" applyFont="1" applyFill="1" applyBorder="1" applyAlignment="1">
      <alignment horizontal="center" vertical="center"/>
    </xf>
    <xf numFmtId="168" fontId="18" fillId="11" borderId="23" xfId="0" applyNumberFormat="1" applyFont="1" applyFill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wrapText="1"/>
    </xf>
    <xf numFmtId="0" fontId="10" fillId="0" borderId="24" xfId="0" applyFont="1" applyFill="1" applyBorder="1" applyAlignment="1">
      <alignment horizontal="center" vertical="center" wrapText="1"/>
    </xf>
    <xf numFmtId="0" fontId="78" fillId="0" borderId="23" xfId="0" applyFont="1" applyFill="1" applyBorder="1" applyAlignment="1">
      <alignment vertical="top"/>
    </xf>
    <xf numFmtId="0" fontId="78" fillId="0" borderId="23" xfId="0" applyFont="1" applyFill="1" applyBorder="1" applyAlignment="1">
      <alignment horizontal="left" vertical="top"/>
    </xf>
    <xf numFmtId="0" fontId="78" fillId="0" borderId="23" xfId="0" applyFont="1" applyFill="1" applyBorder="1" applyAlignment="1">
      <alignment horizontal="center" vertical="top"/>
    </xf>
    <xf numFmtId="0" fontId="10" fillId="0" borderId="23" xfId="0" applyFont="1" applyFill="1" applyBorder="1" applyAlignment="1">
      <alignment horizontal="right" vertical="center" wrapText="1"/>
    </xf>
    <xf numFmtId="0" fontId="47" fillId="0" borderId="23" xfId="0" applyFont="1" applyFill="1" applyBorder="1" applyAlignment="1">
      <alignment horizontal="left" vertical="top"/>
    </xf>
    <xf numFmtId="0" fontId="47" fillId="0" borderId="23" xfId="0" applyFont="1" applyFill="1" applyBorder="1" applyAlignment="1">
      <alignment vertical="top" wrapText="1"/>
    </xf>
    <xf numFmtId="2" fontId="47" fillId="0" borderId="23" xfId="0" applyNumberFormat="1" applyFont="1" applyFill="1" applyBorder="1" applyAlignment="1">
      <alignment vertical="top" wrapText="1"/>
    </xf>
    <xf numFmtId="0" fontId="10" fillId="0" borderId="23" xfId="0" applyFont="1" applyFill="1" applyBorder="1" applyAlignment="1">
      <alignment horizontal="right" vertical="top" wrapText="1"/>
    </xf>
    <xf numFmtId="0" fontId="10" fillId="11" borderId="23" xfId="0" applyFont="1" applyFill="1" applyBorder="1" applyAlignment="1">
      <alignment horizontal="left" vertical="center"/>
    </xf>
    <xf numFmtId="1" fontId="3" fillId="11" borderId="23" xfId="0" applyNumberFormat="1" applyFont="1" applyFill="1" applyBorder="1" applyAlignment="1">
      <alignment horizontal="center" vertical="center"/>
    </xf>
    <xf numFmtId="2" fontId="10" fillId="11" borderId="23" xfId="0" applyNumberFormat="1" applyFont="1" applyFill="1" applyBorder="1" applyAlignment="1">
      <alignment horizontal="right" vertical="center"/>
    </xf>
    <xf numFmtId="0" fontId="10" fillId="11" borderId="23" xfId="0" applyFont="1" applyFill="1" applyBorder="1" applyAlignment="1">
      <alignment vertical="center"/>
    </xf>
    <xf numFmtId="2" fontId="10" fillId="11" borderId="23" xfId="0" applyNumberFormat="1" applyFont="1" applyFill="1" applyBorder="1" applyAlignment="1">
      <alignment vertical="center"/>
    </xf>
    <xf numFmtId="0" fontId="9" fillId="11" borderId="23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 vertical="center"/>
    </xf>
    <xf numFmtId="167" fontId="10" fillId="11" borderId="23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5" fillId="11" borderId="23" xfId="0" applyFont="1" applyFill="1" applyBorder="1" applyAlignment="1">
      <alignment horizontal="left" vertical="center"/>
    </xf>
    <xf numFmtId="2" fontId="10" fillId="0" borderId="23" xfId="0" applyNumberFormat="1" applyFont="1" applyBorder="1" applyAlignment="1">
      <alignment horizontal="left" vertical="center" wrapText="1"/>
    </xf>
    <xf numFmtId="2" fontId="3" fillId="0" borderId="0" xfId="0" applyNumberFormat="1" applyFont="1" applyBorder="1" applyAlignment="1">
      <alignment horizontal="right" vertical="center"/>
    </xf>
    <xf numFmtId="2" fontId="3" fillId="0" borderId="0" xfId="0" applyNumberFormat="1" applyFont="1" applyFill="1" applyBorder="1" applyAlignment="1">
      <alignment horizontal="right" vertical="center"/>
    </xf>
    <xf numFmtId="0" fontId="10" fillId="0" borderId="23" xfId="0" applyNumberFormat="1" applyFont="1" applyBorder="1" applyAlignment="1">
      <alignment horizontal="center" vertical="center"/>
    </xf>
    <xf numFmtId="0" fontId="10" fillId="0" borderId="23" xfId="0" applyNumberFormat="1" applyFont="1" applyFill="1" applyBorder="1" applyAlignment="1">
      <alignment horizontal="center" vertical="center" wrapText="1"/>
    </xf>
    <xf numFmtId="0" fontId="10" fillId="0" borderId="23" xfId="0" applyNumberFormat="1" applyFont="1" applyBorder="1" applyAlignment="1">
      <alignment horizontal="center" vertical="center" wrapText="1"/>
    </xf>
    <xf numFmtId="2" fontId="10" fillId="0" borderId="23" xfId="0" applyNumberFormat="1" applyFont="1" applyBorder="1" applyAlignment="1">
      <alignment horizontal="right" vertical="center"/>
    </xf>
    <xf numFmtId="0" fontId="31" fillId="20" borderId="23" xfId="0" applyFont="1" applyFill="1" applyBorder="1" applyAlignment="1">
      <alignment horizontal="center" vertical="center" wrapText="1"/>
    </xf>
    <xf numFmtId="0" fontId="31" fillId="20" borderId="23" xfId="0" applyFont="1" applyFill="1" applyBorder="1"/>
    <xf numFmtId="0" fontId="29" fillId="20" borderId="23" xfId="0" applyFont="1" applyFill="1" applyBorder="1" applyAlignment="1">
      <alignment horizontal="left"/>
    </xf>
    <xf numFmtId="0" fontId="29" fillId="20" borderId="23" xfId="0" applyFont="1" applyFill="1" applyBorder="1" applyAlignment="1">
      <alignment horizontal="center" vertical="center" wrapText="1"/>
    </xf>
    <xf numFmtId="0" fontId="29" fillId="20" borderId="23" xfId="0" applyFont="1" applyFill="1" applyBorder="1" applyAlignment="1">
      <alignment horizontal="right" vertical="center" wrapText="1"/>
    </xf>
    <xf numFmtId="2" fontId="10" fillId="11" borderId="23" xfId="0" applyNumberFormat="1" applyFont="1" applyFill="1" applyBorder="1" applyAlignment="1">
      <alignment horizontal="right" vertical="center" wrapText="1"/>
    </xf>
    <xf numFmtId="2" fontId="3" fillId="0" borderId="23" xfId="0" applyNumberFormat="1" applyFont="1" applyBorder="1" applyAlignment="1">
      <alignment horizontal="right" vertical="center"/>
    </xf>
    <xf numFmtId="0" fontId="9" fillId="11" borderId="23" xfId="0" applyFont="1" applyFill="1" applyBorder="1" applyAlignment="1">
      <alignment horizontal="center" vertical="center" wrapText="1"/>
    </xf>
    <xf numFmtId="0" fontId="9" fillId="11" borderId="23" xfId="0" applyFont="1" applyFill="1" applyBorder="1" applyAlignment="1">
      <alignment horizontal="right" vertical="center" wrapText="1"/>
    </xf>
    <xf numFmtId="2" fontId="9" fillId="11" borderId="23" xfId="0" applyNumberFormat="1" applyFont="1" applyFill="1" applyBorder="1" applyAlignment="1">
      <alignment horizontal="right" vertical="center" wrapText="1"/>
    </xf>
    <xf numFmtId="0" fontId="10" fillId="0" borderId="24" xfId="0" applyFont="1" applyFill="1" applyBorder="1" applyAlignment="1">
      <alignment horizontal="left" vertical="top" wrapText="1"/>
    </xf>
    <xf numFmtId="2" fontId="10" fillId="0" borderId="24" xfId="0" applyNumberFormat="1" applyFont="1" applyFill="1" applyBorder="1" applyAlignment="1">
      <alignment horizontal="center" vertical="center" wrapText="1"/>
    </xf>
    <xf numFmtId="0" fontId="18" fillId="11" borderId="23" xfId="0" applyFont="1" applyFill="1" applyBorder="1" applyAlignment="1">
      <alignment horizontal="right" vertical="center"/>
    </xf>
    <xf numFmtId="2" fontId="10" fillId="0" borderId="24" xfId="0" applyNumberFormat="1" applyFont="1" applyFill="1" applyBorder="1" applyAlignment="1">
      <alignment horizontal="right" vertical="center" wrapText="1"/>
    </xf>
    <xf numFmtId="0" fontId="53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4" fillId="11" borderId="23" xfId="0" applyFont="1" applyFill="1" applyBorder="1" applyAlignment="1" applyProtection="1">
      <alignment horizontal="left" vertical="center" wrapText="1"/>
      <protection locked="0"/>
    </xf>
    <xf numFmtId="169" fontId="10" fillId="11" borderId="23" xfId="1" applyNumberFormat="1" applyFont="1" applyFill="1" applyBorder="1" applyAlignment="1">
      <alignment horizontal="center" vertical="center"/>
    </xf>
    <xf numFmtId="0" fontId="4" fillId="11" borderId="23" xfId="0" applyFont="1" applyFill="1" applyBorder="1" applyAlignment="1">
      <alignment horizontal="center" vertical="center"/>
    </xf>
    <xf numFmtId="0" fontId="10" fillId="11" borderId="23" xfId="0" applyFont="1" applyFill="1" applyBorder="1" applyAlignment="1">
      <alignment horizontal="right" vertical="center"/>
    </xf>
    <xf numFmtId="0" fontId="10" fillId="11" borderId="23" xfId="0" applyFont="1" applyFill="1" applyBorder="1" applyAlignment="1" applyProtection="1">
      <alignment horizontal="left" vertical="center"/>
      <protection locked="0"/>
    </xf>
    <xf numFmtId="0" fontId="10" fillId="11" borderId="23" xfId="0" applyFont="1" applyFill="1" applyBorder="1" applyAlignment="1" applyProtection="1">
      <alignment vertical="center" wrapText="1"/>
      <protection locked="0"/>
    </xf>
    <xf numFmtId="0" fontId="10" fillId="11" borderId="23" xfId="0" applyFont="1" applyFill="1" applyBorder="1" applyAlignment="1" applyProtection="1">
      <alignment horizontal="center" vertical="center"/>
      <protection locked="0"/>
    </xf>
    <xf numFmtId="2" fontId="10" fillId="11" borderId="23" xfId="0" applyNumberFormat="1" applyFont="1" applyFill="1" applyBorder="1" applyAlignment="1" applyProtection="1">
      <alignment vertical="center"/>
      <protection locked="0"/>
    </xf>
    <xf numFmtId="0" fontId="10" fillId="11" borderId="23" xfId="0" applyFont="1" applyFill="1" applyBorder="1" applyAlignment="1" applyProtection="1">
      <alignment horizontal="left" vertical="center" wrapText="1"/>
      <protection locked="0"/>
    </xf>
    <xf numFmtId="169" fontId="10" fillId="11" borderId="23" xfId="1" applyNumberFormat="1" applyFont="1" applyFill="1" applyBorder="1" applyAlignment="1" applyProtection="1">
      <alignment horizontal="center" vertical="center"/>
      <protection locked="0"/>
    </xf>
    <xf numFmtId="0" fontId="4" fillId="11" borderId="23" xfId="0" applyFont="1" applyFill="1" applyBorder="1" applyAlignment="1" applyProtection="1">
      <alignment horizontal="left" vertical="center"/>
      <protection locked="0"/>
    </xf>
    <xf numFmtId="0" fontId="5" fillId="11" borderId="23" xfId="0" applyFont="1" applyFill="1" applyBorder="1" applyAlignment="1">
      <alignment vertical="center"/>
    </xf>
    <xf numFmtId="1" fontId="10" fillId="11" borderId="23" xfId="0" applyNumberFormat="1" applyFont="1" applyFill="1" applyBorder="1" applyAlignment="1">
      <alignment horizontal="center" vertical="center"/>
    </xf>
    <xf numFmtId="0" fontId="10" fillId="11" borderId="23" xfId="0" applyFont="1" applyFill="1" applyBorder="1" applyAlignment="1">
      <alignment horizontal="center"/>
    </xf>
    <xf numFmtId="0" fontId="10" fillId="11" borderId="23" xfId="0" applyFont="1" applyFill="1" applyBorder="1" applyAlignment="1" applyProtection="1">
      <alignment horizontal="center"/>
      <protection locked="0"/>
    </xf>
    <xf numFmtId="0" fontId="9" fillId="11" borderId="23" xfId="0" applyFont="1" applyFill="1" applyBorder="1" applyAlignment="1">
      <alignment horizontal="center"/>
    </xf>
    <xf numFmtId="0" fontId="10" fillId="18" borderId="23" xfId="0" applyFont="1" applyFill="1" applyBorder="1" applyAlignment="1">
      <alignment horizontal="center" vertical="center"/>
    </xf>
    <xf numFmtId="0" fontId="10" fillId="18" borderId="23" xfId="0" applyFont="1" applyFill="1" applyBorder="1" applyAlignment="1">
      <alignment horizontal="right" vertical="center"/>
    </xf>
    <xf numFmtId="2" fontId="10" fillId="18" borderId="23" xfId="0" applyNumberFormat="1" applyFont="1" applyFill="1" applyBorder="1" applyAlignment="1">
      <alignment horizontal="right" vertical="center"/>
    </xf>
    <xf numFmtId="0" fontId="16" fillId="11" borderId="21" xfId="0" applyFont="1" applyFill="1" applyBorder="1" applyAlignment="1">
      <alignment horizontal="left" wrapText="1"/>
    </xf>
    <xf numFmtId="0" fontId="10" fillId="11" borderId="21" xfId="0" applyFont="1" applyFill="1" applyBorder="1" applyAlignment="1">
      <alignment horizontal="left"/>
    </xf>
    <xf numFmtId="0" fontId="16" fillId="11" borderId="21" xfId="0" applyFont="1" applyFill="1" applyBorder="1" applyAlignment="1">
      <alignment horizontal="left" vertical="top" wrapText="1"/>
    </xf>
    <xf numFmtId="0" fontId="10" fillId="11" borderId="21" xfId="0" applyFont="1" applyFill="1" applyBorder="1" applyAlignment="1">
      <alignment vertical="top" wrapText="1"/>
    </xf>
    <xf numFmtId="0" fontId="16" fillId="11" borderId="21" xfId="0" applyFont="1" applyFill="1" applyBorder="1" applyAlignment="1">
      <alignment horizontal="left" vertical="center" wrapText="1"/>
    </xf>
    <xf numFmtId="167" fontId="16" fillId="11" borderId="23" xfId="0" applyNumberFormat="1" applyFont="1" applyFill="1" applyBorder="1" applyAlignment="1">
      <alignment horizontal="right" vertical="center"/>
    </xf>
    <xf numFmtId="0" fontId="10" fillId="11" borderId="49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vertical="center"/>
    </xf>
    <xf numFmtId="0" fontId="10" fillId="0" borderId="49" xfId="0" applyFont="1" applyFill="1" applyBorder="1" applyAlignment="1">
      <alignment vertical="top" wrapText="1"/>
    </xf>
    <xf numFmtId="0" fontId="4" fillId="0" borderId="49" xfId="0" applyFont="1" applyFill="1" applyBorder="1" applyAlignment="1">
      <alignment vertical="top" wrapText="1"/>
    </xf>
    <xf numFmtId="0" fontId="10" fillId="0" borderId="49" xfId="0" applyFont="1" applyFill="1" applyBorder="1" applyAlignment="1">
      <alignment horizontal="center" vertical="top" wrapText="1"/>
    </xf>
    <xf numFmtId="0" fontId="10" fillId="0" borderId="49" xfId="0" applyFont="1" applyFill="1" applyBorder="1" applyAlignment="1">
      <alignment horizontal="right" vertical="top" wrapText="1"/>
    </xf>
    <xf numFmtId="0" fontId="10" fillId="11" borderId="49" xfId="0" applyFont="1" applyFill="1" applyBorder="1" applyAlignment="1">
      <alignment vertical="top" wrapText="1"/>
    </xf>
    <xf numFmtId="4" fontId="76" fillId="0" borderId="49" xfId="0" applyNumberFormat="1" applyFont="1" applyBorder="1" applyAlignment="1">
      <alignment vertical="center"/>
    </xf>
    <xf numFmtId="4" fontId="76" fillId="0" borderId="49" xfId="0" applyNumberFormat="1" applyFont="1" applyBorder="1" applyAlignment="1">
      <alignment vertical="center" wrapText="1"/>
    </xf>
    <xf numFmtId="3" fontId="76" fillId="0" borderId="49" xfId="0" applyNumberFormat="1" applyFont="1" applyBorder="1" applyAlignment="1">
      <alignment horizontal="center" vertical="center"/>
    </xf>
    <xf numFmtId="3" fontId="76" fillId="0" borderId="49" xfId="0" applyNumberFormat="1" applyFont="1" applyFill="1" applyBorder="1" applyAlignment="1">
      <alignment horizontal="center" vertical="center"/>
    </xf>
    <xf numFmtId="4" fontId="76" fillId="0" borderId="49" xfId="0" applyNumberFormat="1" applyFont="1" applyBorder="1" applyAlignment="1">
      <alignment horizontal="right" vertical="center" wrapText="1"/>
    </xf>
    <xf numFmtId="4" fontId="76" fillId="0" borderId="49" xfId="0" applyNumberFormat="1" applyFont="1" applyBorder="1" applyAlignment="1">
      <alignment horizontal="center" vertical="center" wrapText="1"/>
    </xf>
    <xf numFmtId="4" fontId="76" fillId="0" borderId="49" xfId="0" applyNumberFormat="1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vertical="top"/>
    </xf>
    <xf numFmtId="0" fontId="10" fillId="0" borderId="49" xfId="0" applyFont="1" applyFill="1" applyBorder="1" applyAlignment="1">
      <alignment horizontal="left" vertical="top" wrapText="1"/>
    </xf>
    <xf numFmtId="0" fontId="4" fillId="11" borderId="49" xfId="0" applyFont="1" applyFill="1" applyBorder="1" applyAlignment="1" applyProtection="1">
      <alignment horizontal="left" vertical="center" wrapText="1"/>
      <protection locked="0"/>
    </xf>
    <xf numFmtId="2" fontId="10" fillId="0" borderId="49" xfId="0" applyNumberFormat="1" applyFont="1" applyFill="1" applyBorder="1" applyAlignment="1">
      <alignment horizontal="right" vertical="top" wrapText="1"/>
    </xf>
    <xf numFmtId="3" fontId="10" fillId="0" borderId="49" xfId="5" applyNumberFormat="1" applyFont="1" applyFill="1" applyBorder="1" applyAlignment="1">
      <alignment horizontal="left" vertical="top" wrapText="1"/>
    </xf>
    <xf numFmtId="0" fontId="0" fillId="0" borderId="49" xfId="0" applyBorder="1"/>
    <xf numFmtId="0" fontId="43" fillId="0" borderId="49" xfId="0" applyFont="1" applyBorder="1" applyAlignment="1">
      <alignment vertical="center"/>
    </xf>
    <xf numFmtId="0" fontId="26" fillId="0" borderId="49" xfId="0" applyFont="1" applyBorder="1" applyAlignment="1">
      <alignment vertical="center" wrapText="1"/>
    </xf>
    <xf numFmtId="0" fontId="26" fillId="0" borderId="49" xfId="0" applyFont="1" applyBorder="1" applyAlignment="1">
      <alignment horizontal="center" vertical="center"/>
    </xf>
    <xf numFmtId="2" fontId="26" fillId="0" borderId="49" xfId="0" applyNumberFormat="1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 wrapText="1"/>
    </xf>
    <xf numFmtId="0" fontId="4" fillId="11" borderId="49" xfId="0" applyFont="1" applyFill="1" applyBorder="1" applyAlignment="1" applyProtection="1">
      <alignment horizontal="left" vertical="top" wrapText="1"/>
      <protection locked="0"/>
    </xf>
    <xf numFmtId="0" fontId="10" fillId="0" borderId="49" xfId="0" applyFont="1" applyBorder="1" applyAlignment="1">
      <alignment horizontal="center" vertical="justify"/>
    </xf>
    <xf numFmtId="0" fontId="10" fillId="0" borderId="49" xfId="0" applyNumberFormat="1" applyFont="1" applyFill="1" applyBorder="1" applyAlignment="1">
      <alignment vertical="top" wrapText="1"/>
    </xf>
    <xf numFmtId="0" fontId="10" fillId="0" borderId="49" xfId="0" applyFont="1" applyBorder="1" applyAlignment="1">
      <alignment horizontal="right" vertical="justify"/>
    </xf>
    <xf numFmtId="2" fontId="10" fillId="0" borderId="49" xfId="0" applyNumberFormat="1" applyFont="1" applyBorder="1" applyAlignment="1">
      <alignment vertical="top"/>
    </xf>
    <xf numFmtId="0" fontId="10" fillId="0" borderId="49" xfId="0" applyFont="1" applyBorder="1" applyAlignment="1">
      <alignment horizontal="left" vertical="top" wrapText="1"/>
    </xf>
    <xf numFmtId="0" fontId="10" fillId="0" borderId="49" xfId="0" quotePrefix="1" applyNumberFormat="1" applyFont="1" applyFill="1" applyBorder="1" applyAlignment="1">
      <alignment vertical="top" wrapText="1"/>
    </xf>
    <xf numFmtId="0" fontId="10" fillId="0" borderId="49" xfId="0" applyFont="1" applyBorder="1" applyAlignment="1">
      <alignment horizontal="left" vertical="justify"/>
    </xf>
    <xf numFmtId="0" fontId="14" fillId="9" borderId="49" xfId="0" applyFont="1" applyFill="1" applyBorder="1" applyAlignment="1">
      <alignment vertical="center"/>
    </xf>
    <xf numFmtId="0" fontId="14" fillId="9" borderId="49" xfId="0" applyFont="1" applyFill="1" applyBorder="1" applyAlignment="1">
      <alignment horizontal="left" vertical="center"/>
    </xf>
    <xf numFmtId="0" fontId="30" fillId="7" borderId="49" xfId="0" applyFont="1" applyFill="1" applyBorder="1" applyAlignment="1">
      <alignment vertical="center"/>
    </xf>
    <xf numFmtId="0" fontId="30" fillId="7" borderId="49" xfId="0" applyFont="1" applyFill="1" applyBorder="1" applyAlignment="1">
      <alignment horizontal="left" vertical="center"/>
    </xf>
    <xf numFmtId="0" fontId="10" fillId="11" borderId="49" xfId="0" applyFont="1" applyFill="1" applyBorder="1" applyAlignment="1">
      <alignment horizontal="left" vertical="center"/>
    </xf>
    <xf numFmtId="0" fontId="10" fillId="11" borderId="49" xfId="0" applyFont="1" applyFill="1" applyBorder="1" applyAlignment="1">
      <alignment horizontal="left" vertical="center" wrapText="1"/>
    </xf>
    <xf numFmtId="2" fontId="10" fillId="11" borderId="49" xfId="0" applyNumberFormat="1" applyFont="1" applyFill="1" applyBorder="1" applyAlignment="1">
      <alignment horizontal="right" vertical="center"/>
    </xf>
    <xf numFmtId="0" fontId="4" fillId="11" borderId="49" xfId="0" applyFont="1" applyFill="1" applyBorder="1" applyAlignment="1">
      <alignment horizontal="left" vertical="center"/>
    </xf>
    <xf numFmtId="14" fontId="4" fillId="11" borderId="49" xfId="0" applyNumberFormat="1" applyFont="1" applyFill="1" applyBorder="1" applyAlignment="1">
      <alignment horizontal="left" vertical="center"/>
    </xf>
    <xf numFmtId="0" fontId="5" fillId="10" borderId="49" xfId="0" applyFont="1" applyFill="1" applyBorder="1" applyAlignment="1">
      <alignment horizontal="left" vertical="center"/>
    </xf>
    <xf numFmtId="0" fontId="9" fillId="10" borderId="49" xfId="0" applyFont="1" applyFill="1" applyBorder="1" applyAlignment="1">
      <alignment horizontal="center" vertical="center"/>
    </xf>
    <xf numFmtId="2" fontId="9" fillId="10" borderId="49" xfId="0" applyNumberFormat="1" applyFont="1" applyFill="1" applyBorder="1" applyAlignment="1">
      <alignment horizontal="right" vertical="center"/>
    </xf>
    <xf numFmtId="0" fontId="4" fillId="11" borderId="49" xfId="0" applyFont="1" applyFill="1" applyBorder="1" applyAlignment="1">
      <alignment horizontal="left" vertical="center" wrapText="1"/>
    </xf>
    <xf numFmtId="0" fontId="5" fillId="10" borderId="49" xfId="0" applyFont="1" applyFill="1" applyBorder="1" applyAlignment="1">
      <alignment horizontal="center" vertical="center"/>
    </xf>
    <xf numFmtId="0" fontId="9" fillId="11" borderId="49" xfId="0" applyFont="1" applyFill="1" applyBorder="1" applyAlignment="1">
      <alignment horizontal="center" vertical="center"/>
    </xf>
    <xf numFmtId="0" fontId="9" fillId="10" borderId="49" xfId="0" applyFont="1" applyFill="1" applyBorder="1" applyAlignment="1">
      <alignment horizontal="left" vertical="center"/>
    </xf>
    <xf numFmtId="0" fontId="0" fillId="10" borderId="49" xfId="0" applyFill="1" applyBorder="1"/>
    <xf numFmtId="0" fontId="4" fillId="0" borderId="49" xfId="0" applyFont="1" applyFill="1" applyBorder="1" applyAlignment="1">
      <alignment horizontal="left" vertical="top" wrapText="1"/>
    </xf>
    <xf numFmtId="0" fontId="3" fillId="0" borderId="49" xfId="0" applyFont="1" applyBorder="1" applyAlignment="1">
      <alignment horizontal="left" wrapText="1"/>
    </xf>
    <xf numFmtId="0" fontId="10" fillId="0" borderId="49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right" vertical="center" wrapText="1"/>
    </xf>
    <xf numFmtId="0" fontId="9" fillId="10" borderId="49" xfId="0" applyFont="1" applyFill="1" applyBorder="1" applyAlignment="1">
      <alignment horizontal="right" vertical="center"/>
    </xf>
    <xf numFmtId="2" fontId="10" fillId="0" borderId="49" xfId="0" applyNumberFormat="1" applyFont="1" applyFill="1" applyBorder="1" applyAlignment="1">
      <alignment vertical="top" wrapText="1"/>
    </xf>
    <xf numFmtId="2" fontId="10" fillId="0" borderId="49" xfId="0" applyNumberFormat="1" applyFont="1" applyFill="1" applyBorder="1" applyAlignment="1">
      <alignment vertical="center" wrapText="1"/>
    </xf>
    <xf numFmtId="0" fontId="9" fillId="10" borderId="49" xfId="0" applyFont="1" applyFill="1" applyBorder="1" applyAlignment="1">
      <alignment vertical="top" wrapText="1"/>
    </xf>
    <xf numFmtId="0" fontId="9" fillId="10" borderId="49" xfId="0" applyFont="1" applyFill="1" applyBorder="1" applyAlignment="1">
      <alignment horizontal="left" vertical="top"/>
    </xf>
    <xf numFmtId="0" fontId="9" fillId="10" borderId="49" xfId="0" applyFont="1" applyFill="1" applyBorder="1" applyAlignment="1">
      <alignment horizontal="center" vertical="top" wrapText="1"/>
    </xf>
    <xf numFmtId="2" fontId="9" fillId="10" borderId="49" xfId="0" applyNumberFormat="1" applyFont="1" applyFill="1" applyBorder="1" applyAlignment="1">
      <alignment vertical="top" wrapText="1"/>
    </xf>
    <xf numFmtId="0" fontId="3" fillId="0" borderId="49" xfId="0" applyFont="1" applyFill="1" applyBorder="1" applyAlignment="1">
      <alignment horizontal="center" vertical="top" wrapText="1"/>
    </xf>
    <xf numFmtId="0" fontId="3" fillId="0" borderId="49" xfId="0" applyFont="1" applyFill="1" applyBorder="1" applyAlignment="1">
      <alignment horizontal="left" vertical="top" wrapText="1"/>
    </xf>
    <xf numFmtId="0" fontId="3" fillId="0" borderId="49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 wrapText="1"/>
    </xf>
    <xf numFmtId="2" fontId="3" fillId="0" borderId="49" xfId="0" applyNumberFormat="1" applyFont="1" applyFill="1" applyBorder="1" applyAlignment="1">
      <alignment horizontal="right" vertical="center"/>
    </xf>
    <xf numFmtId="0" fontId="10" fillId="0" borderId="49" xfId="0" applyFont="1" applyFill="1" applyBorder="1" applyAlignment="1">
      <alignment horizontal="left" vertical="center" wrapText="1"/>
    </xf>
    <xf numFmtId="17" fontId="3" fillId="0" borderId="49" xfId="0" applyNumberFormat="1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left" vertical="center" wrapText="1"/>
    </xf>
    <xf numFmtId="0" fontId="7" fillId="10" borderId="49" xfId="0" applyFont="1" applyFill="1" applyBorder="1" applyAlignment="1">
      <alignment horizontal="center" vertical="top" wrapText="1"/>
    </xf>
    <xf numFmtId="0" fontId="8" fillId="10" borderId="49" xfId="0" applyFont="1" applyFill="1" applyBorder="1" applyAlignment="1">
      <alignment horizontal="center" vertical="top" wrapText="1"/>
    </xf>
    <xf numFmtId="0" fontId="8" fillId="10" borderId="49" xfId="0" applyFont="1" applyFill="1" applyBorder="1" applyAlignment="1">
      <alignment horizontal="right" vertical="top" wrapText="1"/>
    </xf>
    <xf numFmtId="0" fontId="7" fillId="10" borderId="49" xfId="0" applyFont="1" applyFill="1" applyBorder="1" applyAlignment="1">
      <alignment horizontal="left" vertical="top" wrapText="1"/>
    </xf>
    <xf numFmtId="0" fontId="7" fillId="7" borderId="49" xfId="0" applyFont="1" applyFill="1" applyBorder="1" applyAlignment="1">
      <alignment horizontal="center" vertical="top" wrapText="1"/>
    </xf>
    <xf numFmtId="0" fontId="8" fillId="7" borderId="49" xfId="0" applyFont="1" applyFill="1" applyBorder="1" applyAlignment="1">
      <alignment horizontal="center" vertical="top" wrapText="1"/>
    </xf>
    <xf numFmtId="0" fontId="8" fillId="7" borderId="49" xfId="0" applyFont="1" applyFill="1" applyBorder="1" applyAlignment="1">
      <alignment horizontal="right" vertical="top" wrapText="1"/>
    </xf>
    <xf numFmtId="0" fontId="7" fillId="7" borderId="49" xfId="0" applyFont="1" applyFill="1" applyBorder="1" applyAlignment="1">
      <alignment horizontal="left" vertical="top" wrapText="1"/>
    </xf>
    <xf numFmtId="0" fontId="3" fillId="11" borderId="49" xfId="0" applyFont="1" applyFill="1" applyBorder="1" applyAlignment="1">
      <alignment horizontal="center" vertical="top" wrapText="1"/>
    </xf>
    <xf numFmtId="4" fontId="36" fillId="0" borderId="49" xfId="0" applyNumberFormat="1" applyFont="1" applyFill="1" applyBorder="1" applyAlignment="1">
      <alignment horizontal="left" vertical="top" wrapText="1"/>
    </xf>
    <xf numFmtId="4" fontId="76" fillId="0" borderId="49" xfId="0" applyNumberFormat="1" applyFont="1" applyFill="1" applyBorder="1" applyAlignment="1">
      <alignment vertical="top"/>
    </xf>
    <xf numFmtId="4" fontId="76" fillId="0" borderId="49" xfId="0" applyNumberFormat="1" applyFont="1" applyFill="1" applyBorder="1" applyAlignment="1">
      <alignment horizontal="right" vertical="center" wrapText="1"/>
    </xf>
    <xf numFmtId="4" fontId="76" fillId="0" borderId="49" xfId="0" applyNumberFormat="1" applyFont="1" applyFill="1" applyBorder="1" applyAlignment="1">
      <alignment horizontal="center" vertical="top" wrapText="1"/>
    </xf>
    <xf numFmtId="4" fontId="76" fillId="0" borderId="49" xfId="0" applyNumberFormat="1" applyFont="1" applyFill="1" applyBorder="1" applyAlignment="1">
      <alignment horizontal="center" vertical="center"/>
    </xf>
    <xf numFmtId="4" fontId="36" fillId="0" borderId="49" xfId="0" applyNumberFormat="1" applyFont="1" applyFill="1" applyBorder="1" applyAlignment="1">
      <alignment vertical="top" wrapText="1"/>
    </xf>
    <xf numFmtId="4" fontId="36" fillId="0" borderId="49" xfId="0" applyNumberFormat="1" applyFont="1" applyFill="1" applyBorder="1" applyAlignment="1">
      <alignment vertical="top"/>
    </xf>
    <xf numFmtId="4" fontId="77" fillId="0" borderId="49" xfId="0" applyNumberFormat="1" applyFont="1" applyFill="1" applyBorder="1" applyAlignment="1">
      <alignment horizontal="right" vertical="center" wrapText="1"/>
    </xf>
    <xf numFmtId="4" fontId="36" fillId="0" borderId="49" xfId="0" applyNumberFormat="1" applyFont="1" applyFill="1" applyBorder="1" applyAlignment="1">
      <alignment horizontal="center" vertical="center"/>
    </xf>
    <xf numFmtId="4" fontId="36" fillId="0" borderId="49" xfId="0" applyNumberFormat="1" applyFont="1" applyFill="1" applyBorder="1" applyAlignment="1">
      <alignment horizontal="center" vertical="center" wrapText="1"/>
    </xf>
    <xf numFmtId="4" fontId="76" fillId="0" borderId="49" xfId="0" applyNumberFormat="1" applyFont="1" applyFill="1" applyBorder="1" applyAlignment="1">
      <alignment vertical="top" wrapText="1"/>
    </xf>
    <xf numFmtId="4" fontId="76" fillId="0" borderId="49" xfId="0" applyNumberFormat="1" applyFont="1" applyBorder="1" applyAlignment="1">
      <alignment vertical="top" wrapText="1"/>
    </xf>
    <xf numFmtId="0" fontId="9" fillId="7" borderId="49" xfId="0" applyFont="1" applyFill="1" applyBorder="1" applyAlignment="1">
      <alignment horizontal="center" vertical="center" wrapText="1"/>
    </xf>
    <xf numFmtId="2" fontId="9" fillId="7" borderId="49" xfId="0" applyNumberFormat="1" applyFont="1" applyFill="1" applyBorder="1" applyAlignment="1">
      <alignment horizontal="right" vertical="center" wrapText="1"/>
    </xf>
    <xf numFmtId="0" fontId="9" fillId="7" borderId="49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center" vertical="top"/>
    </xf>
    <xf numFmtId="0" fontId="9" fillId="10" borderId="49" xfId="0" applyFont="1" applyFill="1" applyBorder="1" applyAlignment="1">
      <alignment horizontal="center" vertical="center" wrapText="1"/>
    </xf>
    <xf numFmtId="2" fontId="9" fillId="10" borderId="49" xfId="0" applyNumberFormat="1" applyFont="1" applyFill="1" applyBorder="1" applyAlignment="1">
      <alignment horizontal="right" vertical="center" wrapText="1"/>
    </xf>
    <xf numFmtId="0" fontId="9" fillId="10" borderId="49" xfId="0" applyFont="1" applyFill="1" applyBorder="1" applyAlignment="1">
      <alignment horizontal="left" vertical="center" wrapText="1"/>
    </xf>
    <xf numFmtId="0" fontId="9" fillId="18" borderId="49" xfId="0" applyFont="1" applyFill="1" applyBorder="1" applyAlignment="1">
      <alignment horizontal="center" vertical="center" wrapText="1"/>
    </xf>
    <xf numFmtId="0" fontId="9" fillId="18" borderId="49" xfId="0" applyFont="1" applyFill="1" applyBorder="1" applyAlignment="1">
      <alignment horizontal="right" vertical="center" wrapText="1"/>
    </xf>
    <xf numFmtId="0" fontId="9" fillId="18" borderId="49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vertical="center"/>
    </xf>
    <xf numFmtId="0" fontId="52" fillId="0" borderId="49" xfId="0" applyFont="1" applyFill="1" applyBorder="1" applyAlignment="1">
      <alignment vertical="center"/>
    </xf>
    <xf numFmtId="0" fontId="9" fillId="0" borderId="49" xfId="0" applyFont="1" applyFill="1" applyBorder="1" applyAlignment="1">
      <alignment vertical="center"/>
    </xf>
    <xf numFmtId="0" fontId="9" fillId="0" borderId="49" xfId="0" applyFont="1" applyFill="1" applyBorder="1" applyAlignment="1">
      <alignment horizontal="left" vertical="center"/>
    </xf>
    <xf numFmtId="0" fontId="10" fillId="0" borderId="49" xfId="0" applyFont="1" applyBorder="1" applyAlignment="1">
      <alignment horizontal="center" vertical="center"/>
    </xf>
    <xf numFmtId="0" fontId="4" fillId="0" borderId="49" xfId="0" applyFont="1" applyBorder="1" applyAlignment="1">
      <alignment vertical="center"/>
    </xf>
    <xf numFmtId="0" fontId="10" fillId="0" borderId="49" xfId="0" applyFont="1" applyBorder="1" applyAlignment="1">
      <alignment vertical="center" wrapText="1"/>
    </xf>
    <xf numFmtId="2" fontId="10" fillId="0" borderId="49" xfId="0" applyNumberFormat="1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 wrapText="1"/>
    </xf>
    <xf numFmtId="0" fontId="10" fillId="0" borderId="49" xfId="0" applyFont="1" applyBorder="1" applyAlignment="1">
      <alignment vertical="center"/>
    </xf>
    <xf numFmtId="0" fontId="51" fillId="18" borderId="49" xfId="0" applyFont="1" applyFill="1" applyBorder="1" applyAlignment="1">
      <alignment vertical="center"/>
    </xf>
    <xf numFmtId="0" fontId="52" fillId="18" borderId="49" xfId="0" applyFont="1" applyFill="1" applyBorder="1" applyAlignment="1">
      <alignment vertical="center"/>
    </xf>
    <xf numFmtId="0" fontId="52" fillId="18" borderId="49" xfId="0" applyFont="1" applyFill="1" applyBorder="1" applyAlignment="1">
      <alignment horizontal="center" vertical="center"/>
    </xf>
    <xf numFmtId="0" fontId="52" fillId="18" borderId="49" xfId="0" applyFont="1" applyFill="1" applyBorder="1" applyAlignment="1">
      <alignment horizontal="right" vertical="center"/>
    </xf>
    <xf numFmtId="0" fontId="43" fillId="0" borderId="49" xfId="0" applyFont="1" applyBorder="1" applyAlignment="1">
      <alignment vertical="center" wrapText="1"/>
    </xf>
    <xf numFmtId="0" fontId="52" fillId="0" borderId="49" xfId="0" applyFont="1" applyFill="1" applyBorder="1" applyAlignment="1">
      <alignment horizontal="left" vertical="center"/>
    </xf>
    <xf numFmtId="0" fontId="27" fillId="0" borderId="49" xfId="0" applyFont="1" applyFill="1" applyBorder="1" applyAlignment="1">
      <alignment horizontal="left" vertical="center"/>
    </xf>
    <xf numFmtId="0" fontId="27" fillId="0" borderId="49" xfId="0" applyFont="1" applyFill="1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10" fillId="0" borderId="49" xfId="0" applyFont="1" applyFill="1" applyBorder="1"/>
    <xf numFmtId="0" fontId="43" fillId="0" borderId="49" xfId="0" applyFont="1" applyBorder="1" applyAlignment="1">
      <alignment vertical="top" wrapText="1"/>
    </xf>
    <xf numFmtId="0" fontId="29" fillId="0" borderId="49" xfId="0" applyFont="1" applyFill="1" applyBorder="1" applyAlignment="1">
      <alignment horizontal="left" vertical="center"/>
    </xf>
    <xf numFmtId="2" fontId="52" fillId="18" borderId="49" xfId="0" applyNumberFormat="1" applyFont="1" applyFill="1" applyBorder="1" applyAlignment="1">
      <alignment horizontal="right" vertical="center"/>
    </xf>
    <xf numFmtId="0" fontId="9" fillId="10" borderId="49" xfId="8" applyFont="1" applyFill="1" applyBorder="1" applyAlignment="1">
      <alignment vertical="center"/>
    </xf>
    <xf numFmtId="0" fontId="9" fillId="10" borderId="49" xfId="8" applyFont="1" applyFill="1" applyBorder="1" applyAlignment="1">
      <alignment horizontal="center" vertical="center"/>
    </xf>
    <xf numFmtId="0" fontId="9" fillId="10" borderId="49" xfId="8" applyFont="1" applyFill="1" applyBorder="1" applyAlignment="1">
      <alignment horizontal="right" vertical="center"/>
    </xf>
    <xf numFmtId="0" fontId="9" fillId="10" borderId="49" xfId="8" applyFont="1" applyFill="1" applyBorder="1" applyAlignment="1">
      <alignment horizontal="left" vertical="center"/>
    </xf>
    <xf numFmtId="0" fontId="9" fillId="7" borderId="49" xfId="5" applyFont="1" applyFill="1" applyBorder="1" applyAlignment="1">
      <alignment vertical="top"/>
    </xf>
    <xf numFmtId="0" fontId="9" fillId="7" borderId="49" xfId="5" applyFont="1" applyFill="1" applyBorder="1" applyAlignment="1">
      <alignment horizontal="center" vertical="top"/>
    </xf>
    <xf numFmtId="3" fontId="28" fillId="7" borderId="49" xfId="0" applyNumberFormat="1" applyFont="1" applyFill="1" applyBorder="1" applyAlignment="1">
      <alignment horizontal="center" vertical="top"/>
    </xf>
    <xf numFmtId="4" fontId="28" fillId="7" borderId="49" xfId="1" applyNumberFormat="1" applyFont="1" applyFill="1" applyBorder="1" applyAlignment="1">
      <alignment horizontal="right" vertical="top"/>
    </xf>
    <xf numFmtId="4" fontId="28" fillId="7" borderId="49" xfId="1" applyNumberFormat="1" applyFont="1" applyFill="1" applyBorder="1" applyAlignment="1">
      <alignment horizontal="left" vertical="top"/>
    </xf>
    <xf numFmtId="0" fontId="3" fillId="0" borderId="49" xfId="0" applyFont="1" applyFill="1" applyBorder="1"/>
    <xf numFmtId="0" fontId="10" fillId="0" borderId="49" xfId="0" applyFont="1" applyFill="1" applyBorder="1" applyAlignment="1">
      <alignment horizontal="left" wrapText="1"/>
    </xf>
    <xf numFmtId="0" fontId="10" fillId="0" borderId="49" xfId="0" applyFont="1" applyFill="1" applyBorder="1" applyAlignment="1">
      <alignment horizontal="left"/>
    </xf>
    <xf numFmtId="0" fontId="10" fillId="0" borderId="49" xfId="0" applyFont="1" applyFill="1" applyBorder="1" applyAlignment="1">
      <alignment horizontal="left" vertical="top"/>
    </xf>
    <xf numFmtId="0" fontId="9" fillId="10" borderId="49" xfId="5" applyFont="1" applyFill="1" applyBorder="1" applyAlignment="1">
      <alignment vertical="top"/>
    </xf>
    <xf numFmtId="0" fontId="9" fillId="10" borderId="49" xfId="5" applyFont="1" applyFill="1" applyBorder="1" applyAlignment="1">
      <alignment horizontal="center" vertical="top"/>
    </xf>
    <xf numFmtId="3" fontId="28" fillId="10" borderId="49" xfId="0" applyNumberFormat="1" applyFont="1" applyFill="1" applyBorder="1" applyAlignment="1">
      <alignment horizontal="center" vertical="top"/>
    </xf>
    <xf numFmtId="4" fontId="28" fillId="10" borderId="49" xfId="0" applyNumberFormat="1" applyFont="1" applyFill="1" applyBorder="1" applyAlignment="1">
      <alignment horizontal="right" vertical="top"/>
    </xf>
    <xf numFmtId="4" fontId="28" fillId="10" borderId="49" xfId="1" applyNumberFormat="1" applyFont="1" applyFill="1" applyBorder="1" applyAlignment="1">
      <alignment horizontal="left" vertical="top"/>
    </xf>
    <xf numFmtId="2" fontId="30" fillId="7" borderId="49" xfId="0" applyNumberFormat="1" applyFont="1" applyFill="1" applyBorder="1" applyAlignment="1">
      <alignment horizontal="right" vertical="center"/>
    </xf>
    <xf numFmtId="0" fontId="10" fillId="0" borderId="49" xfId="5" applyFont="1" applyFill="1" applyBorder="1" applyAlignment="1">
      <alignment horizontal="center" vertical="top" wrapText="1"/>
    </xf>
    <xf numFmtId="0" fontId="10" fillId="0" borderId="49" xfId="5" applyFont="1" applyFill="1" applyBorder="1" applyAlignment="1">
      <alignment vertical="top" wrapText="1"/>
    </xf>
    <xf numFmtId="3" fontId="10" fillId="0" borderId="49" xfId="5" applyNumberFormat="1" applyFont="1" applyFill="1" applyBorder="1" applyAlignment="1">
      <alignment horizontal="center" vertical="top" wrapText="1"/>
    </xf>
    <xf numFmtId="4" fontId="10" fillId="0" borderId="49" xfId="1" applyNumberFormat="1" applyFont="1" applyFill="1" applyBorder="1" applyAlignment="1">
      <alignment horizontal="right" vertical="top" wrapText="1"/>
    </xf>
    <xf numFmtId="43" fontId="10" fillId="0" borderId="49" xfId="1" applyNumberFormat="1" applyFont="1" applyFill="1" applyBorder="1" applyAlignment="1">
      <alignment horizontal="left" vertical="top" wrapText="1"/>
    </xf>
    <xf numFmtId="0" fontId="10" fillId="0" borderId="49" xfId="0" applyFont="1" applyFill="1" applyBorder="1" applyAlignment="1">
      <alignment horizontal="center" vertical="center"/>
    </xf>
    <xf numFmtId="0" fontId="20" fillId="11" borderId="49" xfId="0" applyFont="1" applyFill="1" applyBorder="1" applyAlignment="1">
      <alignment horizontal="center" vertical="center"/>
    </xf>
    <xf numFmtId="0" fontId="20" fillId="11" borderId="49" xfId="0" applyFont="1" applyFill="1" applyBorder="1" applyAlignment="1">
      <alignment horizontal="left" vertical="top" wrapText="1"/>
    </xf>
    <xf numFmtId="0" fontId="20" fillId="11" borderId="49" xfId="0" applyFont="1" applyFill="1" applyBorder="1" applyAlignment="1">
      <alignment horizontal="center" vertical="center" wrapText="1"/>
    </xf>
    <xf numFmtId="0" fontId="20" fillId="11" borderId="49" xfId="0" applyFont="1" applyFill="1" applyBorder="1" applyAlignment="1">
      <alignment horizontal="left" vertical="center"/>
    </xf>
    <xf numFmtId="49" fontId="20" fillId="11" borderId="49" xfId="0" applyNumberFormat="1" applyFont="1" applyFill="1" applyBorder="1" applyAlignment="1">
      <alignment horizontal="left" vertical="center"/>
    </xf>
    <xf numFmtId="0" fontId="20" fillId="11" borderId="49" xfId="0" applyFont="1" applyFill="1" applyBorder="1" applyAlignment="1">
      <alignment horizontal="left" vertical="center" wrapText="1"/>
    </xf>
    <xf numFmtId="49" fontId="20" fillId="11" borderId="49" xfId="0" applyNumberFormat="1" applyFont="1" applyFill="1" applyBorder="1" applyAlignment="1">
      <alignment horizontal="left" vertical="center" wrapText="1"/>
    </xf>
    <xf numFmtId="0" fontId="20" fillId="0" borderId="49" xfId="0" applyFont="1" applyBorder="1" applyAlignment="1">
      <alignment horizontal="center" vertical="center"/>
    </xf>
    <xf numFmtId="0" fontId="20" fillId="0" borderId="49" xfId="0" applyFont="1" applyBorder="1" applyAlignment="1">
      <alignment horizontal="left" vertical="top" wrapText="1"/>
    </xf>
    <xf numFmtId="0" fontId="20" fillId="0" borderId="49" xfId="0" applyFont="1" applyBorder="1" applyAlignment="1">
      <alignment horizontal="left" vertical="center"/>
    </xf>
    <xf numFmtId="49" fontId="20" fillId="0" borderId="49" xfId="0" applyNumberFormat="1" applyFont="1" applyBorder="1" applyAlignment="1">
      <alignment horizontal="left" vertical="center"/>
    </xf>
    <xf numFmtId="49" fontId="3" fillId="0" borderId="49" xfId="0" applyNumberFormat="1" applyFont="1" applyBorder="1" applyAlignment="1">
      <alignment horizontal="center" vertical="center"/>
    </xf>
    <xf numFmtId="49" fontId="20" fillId="0" borderId="49" xfId="0" applyNumberFormat="1" applyFont="1" applyBorder="1" applyAlignment="1">
      <alignment horizontal="left" vertical="top" wrapText="1"/>
    </xf>
    <xf numFmtId="49" fontId="20" fillId="0" borderId="49" xfId="0" applyNumberFormat="1" applyFont="1" applyBorder="1" applyAlignment="1">
      <alignment horizontal="center" vertical="center" wrapText="1"/>
    </xf>
    <xf numFmtId="49" fontId="20" fillId="11" borderId="49" xfId="0" applyNumberFormat="1" applyFont="1" applyFill="1" applyBorder="1" applyAlignment="1">
      <alignment horizontal="center" vertical="center"/>
    </xf>
    <xf numFmtId="49" fontId="3" fillId="0" borderId="49" xfId="0" applyNumberFormat="1" applyFont="1" applyBorder="1" applyAlignment="1">
      <alignment horizontal="left" vertical="center"/>
    </xf>
    <xf numFmtId="49" fontId="10" fillId="0" borderId="49" xfId="0" applyNumberFormat="1" applyFont="1" applyBorder="1" applyAlignment="1">
      <alignment horizontal="left" vertical="center"/>
    </xf>
    <xf numFmtId="49" fontId="20" fillId="0" borderId="49" xfId="0" applyNumberFormat="1" applyFont="1" applyBorder="1" applyAlignment="1">
      <alignment horizontal="left" vertical="center" wrapText="1"/>
    </xf>
    <xf numFmtId="0" fontId="8" fillId="10" borderId="49" xfId="0" applyFont="1" applyFill="1" applyBorder="1" applyAlignment="1">
      <alignment horizontal="center" vertical="top"/>
    </xf>
    <xf numFmtId="0" fontId="8" fillId="10" borderId="49" xfId="0" applyFont="1" applyFill="1" applyBorder="1" applyAlignment="1">
      <alignment horizontal="left" vertical="top" wrapText="1"/>
    </xf>
    <xf numFmtId="0" fontId="10" fillId="0" borderId="49" xfId="0" quotePrefix="1" applyFont="1" applyFill="1" applyBorder="1" applyAlignment="1">
      <alignment horizontal="left" vertical="top" wrapText="1"/>
    </xf>
    <xf numFmtId="0" fontId="29" fillId="0" borderId="49" xfId="0" applyFont="1" applyFill="1" applyBorder="1" applyAlignment="1">
      <alignment vertical="center"/>
    </xf>
    <xf numFmtId="0" fontId="10" fillId="0" borderId="49" xfId="0" quotePrefix="1" applyFont="1" applyBorder="1" applyAlignment="1">
      <alignment horizontal="center" vertical="top"/>
    </xf>
    <xf numFmtId="0" fontId="10" fillId="0" borderId="49" xfId="0" quotePrefix="1" applyFont="1" applyBorder="1" applyAlignment="1">
      <alignment horizontal="center" vertical="justify" wrapText="1"/>
    </xf>
    <xf numFmtId="0" fontId="10" fillId="0" borderId="49" xfId="0" applyFont="1" applyBorder="1" applyAlignment="1">
      <alignment horizontal="right" vertical="justify" wrapText="1"/>
    </xf>
    <xf numFmtId="0" fontId="10" fillId="0" borderId="49" xfId="0" applyFont="1" applyBorder="1" applyAlignment="1">
      <alignment horizontal="left" vertical="top"/>
    </xf>
    <xf numFmtId="0" fontId="10" fillId="0" borderId="49" xfId="0" applyFont="1" applyBorder="1" applyAlignment="1">
      <alignment horizontal="left" vertical="justify" wrapText="1"/>
    </xf>
    <xf numFmtId="0" fontId="10" fillId="0" borderId="49" xfId="0" applyFont="1" applyBorder="1" applyAlignment="1">
      <alignment horizontal="center" vertical="top"/>
    </xf>
    <xf numFmtId="0" fontId="9" fillId="20" borderId="49" xfId="0" applyFont="1" applyFill="1" applyBorder="1" applyAlignment="1">
      <alignment horizontal="center" vertical="top"/>
    </xf>
    <xf numFmtId="0" fontId="6" fillId="20" borderId="49" xfId="0" applyFont="1" applyFill="1" applyBorder="1" applyAlignment="1" applyProtection="1">
      <alignment horizontal="left" vertical="center" wrapText="1"/>
      <protection locked="0"/>
    </xf>
    <xf numFmtId="0" fontId="9" fillId="20" borderId="49" xfId="0" applyFont="1" applyFill="1" applyBorder="1" applyAlignment="1">
      <alignment horizontal="right" vertical="justify"/>
    </xf>
    <xf numFmtId="1" fontId="9" fillId="20" borderId="49" xfId="0" applyNumberFormat="1" applyFont="1" applyFill="1" applyBorder="1" applyAlignment="1">
      <alignment horizontal="center" vertical="justify"/>
    </xf>
    <xf numFmtId="2" fontId="9" fillId="20" borderId="49" xfId="0" applyNumberFormat="1" applyFont="1" applyFill="1" applyBorder="1" applyAlignment="1">
      <alignment horizontal="right" vertical="justify"/>
    </xf>
    <xf numFmtId="0" fontId="9" fillId="20" borderId="49" xfId="0" applyFont="1" applyFill="1" applyBorder="1" applyAlignment="1">
      <alignment horizontal="left" vertical="top"/>
    </xf>
    <xf numFmtId="0" fontId="9" fillId="20" borderId="49" xfId="0" applyFont="1" applyFill="1" applyBorder="1" applyAlignment="1">
      <alignment horizontal="left" vertical="justify"/>
    </xf>
    <xf numFmtId="0" fontId="31" fillId="0" borderId="49" xfId="0" applyFont="1" applyBorder="1" applyAlignment="1">
      <alignment horizontal="center" vertical="top"/>
    </xf>
    <xf numFmtId="0" fontId="29" fillId="11" borderId="49" xfId="0" applyFont="1" applyFill="1" applyBorder="1" applyAlignment="1">
      <alignment vertical="top"/>
    </xf>
    <xf numFmtId="0" fontId="29" fillId="0" borderId="49" xfId="0" applyFont="1" applyFill="1" applyBorder="1" applyAlignment="1">
      <alignment vertical="top"/>
    </xf>
    <xf numFmtId="0" fontId="31" fillId="0" borderId="49" xfId="0" applyFont="1" applyBorder="1" applyAlignment="1">
      <alignment horizontal="right" vertical="justify"/>
    </xf>
    <xf numFmtId="2" fontId="31" fillId="0" borderId="49" xfId="0" applyNumberFormat="1" applyFont="1" applyBorder="1" applyAlignment="1">
      <alignment vertical="top"/>
    </xf>
    <xf numFmtId="0" fontId="31" fillId="0" borderId="49" xfId="0" applyFont="1" applyBorder="1" applyAlignment="1">
      <alignment horizontal="left" vertical="top"/>
    </xf>
    <xf numFmtId="0" fontId="31" fillId="0" borderId="49" xfId="0" applyFont="1" applyBorder="1" applyAlignment="1">
      <alignment horizontal="left" vertical="justify"/>
    </xf>
    <xf numFmtId="0" fontId="29" fillId="11" borderId="49" xfId="0" applyNumberFormat="1" applyFont="1" applyFill="1" applyBorder="1" applyAlignment="1">
      <alignment vertical="top"/>
    </xf>
    <xf numFmtId="0" fontId="29" fillId="0" borderId="49" xfId="0" applyNumberFormat="1" applyFont="1" applyFill="1" applyBorder="1" applyAlignment="1">
      <alignment vertical="top"/>
    </xf>
    <xf numFmtId="0" fontId="31" fillId="0" borderId="49" xfId="0" applyFont="1" applyBorder="1"/>
    <xf numFmtId="0" fontId="10" fillId="0" borderId="49" xfId="0" applyFont="1" applyBorder="1" applyAlignment="1">
      <alignment vertical="top"/>
    </xf>
    <xf numFmtId="0" fontId="29" fillId="11" borderId="49" xfId="0" applyNumberFormat="1" applyFont="1" applyFill="1" applyBorder="1" applyAlignment="1">
      <alignment vertical="top" wrapText="1"/>
    </xf>
    <xf numFmtId="0" fontId="10" fillId="11" borderId="49" xfId="0" applyFont="1" applyFill="1" applyBorder="1" applyAlignment="1">
      <alignment horizontal="center" vertical="top"/>
    </xf>
    <xf numFmtId="0" fontId="10" fillId="11" borderId="49" xfId="0" applyFont="1" applyFill="1" applyBorder="1" applyAlignment="1">
      <alignment horizontal="center" vertical="justify"/>
    </xf>
    <xf numFmtId="0" fontId="10" fillId="11" borderId="49" xfId="0" applyNumberFormat="1" applyFont="1" applyFill="1" applyBorder="1" applyAlignment="1">
      <alignment vertical="top" wrapText="1"/>
    </xf>
    <xf numFmtId="0" fontId="10" fillId="11" borderId="49" xfId="0" applyFont="1" applyFill="1" applyBorder="1" applyAlignment="1">
      <alignment horizontal="right" vertical="justify"/>
    </xf>
    <xf numFmtId="2" fontId="10" fillId="11" borderId="49" xfId="0" applyNumberFormat="1" applyFont="1" applyFill="1" applyBorder="1" applyAlignment="1">
      <alignment vertical="top"/>
    </xf>
    <xf numFmtId="0" fontId="10" fillId="11" borderId="49" xfId="0" applyFont="1" applyFill="1" applyBorder="1" applyAlignment="1">
      <alignment horizontal="left" vertical="top" wrapText="1"/>
    </xf>
    <xf numFmtId="0" fontId="10" fillId="11" borderId="49" xfId="0" applyFont="1" applyFill="1" applyBorder="1" applyAlignment="1">
      <alignment horizontal="left" vertical="justify" wrapText="1"/>
    </xf>
    <xf numFmtId="0" fontId="31" fillId="11" borderId="49" xfId="0" applyFont="1" applyFill="1" applyBorder="1" applyAlignment="1">
      <alignment vertical="top"/>
    </xf>
    <xf numFmtId="0" fontId="9" fillId="10" borderId="49" xfId="0" quotePrefix="1" applyFont="1" applyFill="1" applyBorder="1" applyAlignment="1">
      <alignment horizontal="center" vertical="center"/>
    </xf>
    <xf numFmtId="1" fontId="9" fillId="10" borderId="49" xfId="0" applyNumberFormat="1" applyFont="1" applyFill="1" applyBorder="1" applyAlignment="1">
      <alignment horizontal="center" vertical="center"/>
    </xf>
    <xf numFmtId="2" fontId="9" fillId="10" borderId="49" xfId="0" applyNumberFormat="1" applyFont="1" applyFill="1" applyBorder="1" applyAlignment="1">
      <alignment vertical="center"/>
    </xf>
    <xf numFmtId="0" fontId="3" fillId="0" borderId="49" xfId="0" applyFont="1" applyFill="1" applyBorder="1" applyAlignment="1">
      <alignment horizontal="left"/>
    </xf>
    <xf numFmtId="0" fontId="3" fillId="0" borderId="49" xfId="0" applyFont="1" applyFill="1" applyBorder="1" applyAlignment="1">
      <alignment horizontal="left" vertical="top"/>
    </xf>
    <xf numFmtId="0" fontId="3" fillId="0" borderId="49" xfId="0" applyFont="1" applyFill="1" applyBorder="1" applyAlignment="1">
      <alignment horizontal="center" vertical="top"/>
    </xf>
    <xf numFmtId="0" fontId="9" fillId="10" borderId="49" xfId="0" applyFont="1" applyFill="1" applyBorder="1" applyAlignment="1">
      <alignment vertical="top"/>
    </xf>
    <xf numFmtId="14" fontId="4" fillId="0" borderId="49" xfId="10" applyNumberFormat="1" applyFont="1" applyBorder="1" applyAlignment="1">
      <alignment horizontal="left" vertical="center" wrapText="1"/>
    </xf>
    <xf numFmtId="0" fontId="4" fillId="0" borderId="49" xfId="10" applyFont="1" applyBorder="1" applyAlignment="1">
      <alignment horizontal="left" vertical="top" wrapText="1"/>
    </xf>
    <xf numFmtId="0" fontId="4" fillId="0" borderId="49" xfId="10" applyFont="1" applyBorder="1" applyAlignment="1">
      <alignment horizontal="left" vertical="center" wrapText="1"/>
    </xf>
    <xf numFmtId="0" fontId="4" fillId="0" borderId="49" xfId="10" applyFont="1" applyBorder="1" applyAlignment="1">
      <alignment horizontal="center" vertical="center" wrapText="1"/>
    </xf>
    <xf numFmtId="2" fontId="4" fillId="0" borderId="49" xfId="10" applyNumberFormat="1" applyFont="1" applyBorder="1" applyAlignment="1">
      <alignment horizontal="right" vertical="center" wrapText="1"/>
    </xf>
    <xf numFmtId="1" fontId="4" fillId="0" borderId="49" xfId="10" applyNumberFormat="1" applyFont="1" applyBorder="1" applyAlignment="1">
      <alignment horizontal="center" vertical="center" wrapText="1"/>
    </xf>
    <xf numFmtId="0" fontId="9" fillId="10" borderId="49" xfId="0" applyFont="1" applyFill="1" applyBorder="1" applyAlignment="1">
      <alignment vertical="center"/>
    </xf>
    <xf numFmtId="0" fontId="10" fillId="0" borderId="49" xfId="0" applyFont="1" applyBorder="1" applyAlignment="1">
      <alignment horizontal="left" vertical="center" wrapText="1"/>
    </xf>
    <xf numFmtId="2" fontId="10" fillId="0" borderId="49" xfId="0" applyNumberFormat="1" applyFont="1" applyBorder="1" applyAlignment="1">
      <alignment horizontal="right" vertical="center"/>
    </xf>
    <xf numFmtId="0" fontId="10" fillId="0" borderId="49" xfId="0" applyFont="1" applyBorder="1" applyAlignment="1">
      <alignment horizontal="left" vertical="center"/>
    </xf>
    <xf numFmtId="0" fontId="8" fillId="10" borderId="49" xfId="0" applyFont="1" applyFill="1" applyBorder="1"/>
    <xf numFmtId="0" fontId="8" fillId="10" borderId="49" xfId="0" applyFont="1" applyFill="1" applyBorder="1" applyAlignment="1">
      <alignment horizontal="center" vertical="center" wrapText="1"/>
    </xf>
    <xf numFmtId="0" fontId="8" fillId="10" borderId="49" xfId="0" applyFont="1" applyFill="1" applyBorder="1" applyAlignment="1">
      <alignment wrapText="1"/>
    </xf>
    <xf numFmtId="0" fontId="8" fillId="10" borderId="49" xfId="0" applyFont="1" applyFill="1" applyBorder="1" applyAlignment="1">
      <alignment vertical="center" wrapText="1"/>
    </xf>
    <xf numFmtId="2" fontId="8" fillId="10" borderId="49" xfId="0" applyNumberFormat="1" applyFont="1" applyFill="1" applyBorder="1" applyAlignment="1">
      <alignment vertical="center" wrapText="1"/>
    </xf>
    <xf numFmtId="0" fontId="8" fillId="10" borderId="49" xfId="0" applyFont="1" applyFill="1" applyBorder="1" applyAlignment="1">
      <alignment horizontal="left" wrapText="1"/>
    </xf>
    <xf numFmtId="0" fontId="9" fillId="6" borderId="49" xfId="0" applyFont="1" applyFill="1" applyBorder="1" applyAlignment="1">
      <alignment horizontal="center" vertical="top" wrapText="1"/>
    </xf>
    <xf numFmtId="1" fontId="9" fillId="6" borderId="49" xfId="0" applyNumberFormat="1" applyFont="1" applyFill="1" applyBorder="1" applyAlignment="1">
      <alignment horizontal="center" vertical="top" wrapText="1"/>
    </xf>
    <xf numFmtId="2" fontId="9" fillId="6" borderId="49" xfId="0" applyNumberFormat="1" applyFont="1" applyFill="1" applyBorder="1" applyAlignment="1">
      <alignment vertical="top" wrapText="1"/>
    </xf>
    <xf numFmtId="0" fontId="9" fillId="6" borderId="49" xfId="0" applyFont="1" applyFill="1" applyBorder="1" applyAlignment="1">
      <alignment horizontal="left" vertical="top" wrapText="1"/>
    </xf>
    <xf numFmtId="169" fontId="0" fillId="0" borderId="49" xfId="1" applyNumberFormat="1" applyFont="1" applyBorder="1"/>
    <xf numFmtId="0" fontId="24" fillId="4" borderId="49" xfId="0" applyFont="1" applyFill="1" applyBorder="1" applyAlignment="1">
      <alignment horizontal="center" vertical="center" wrapText="1"/>
    </xf>
    <xf numFmtId="0" fontId="25" fillId="4" borderId="49" xfId="0" applyFont="1" applyFill="1" applyBorder="1" applyAlignment="1">
      <alignment horizontal="center" vertical="center" wrapText="1"/>
    </xf>
    <xf numFmtId="0" fontId="26" fillId="6" borderId="49" xfId="0" applyFont="1" applyFill="1" applyBorder="1" applyAlignment="1">
      <alignment horizontal="center" vertical="center"/>
    </xf>
    <xf numFmtId="0" fontId="26" fillId="6" borderId="49" xfId="0" applyFont="1" applyFill="1" applyBorder="1" applyAlignment="1">
      <alignment horizontal="left" vertical="center"/>
    </xf>
    <xf numFmtId="0" fontId="5" fillId="9" borderId="49" xfId="0" applyFont="1" applyFill="1" applyBorder="1" applyAlignment="1">
      <alignment vertical="center"/>
    </xf>
    <xf numFmtId="0" fontId="9" fillId="9" borderId="49" xfId="0" applyFont="1" applyFill="1" applyBorder="1" applyAlignment="1">
      <alignment vertical="center"/>
    </xf>
    <xf numFmtId="0" fontId="9" fillId="11" borderId="49" xfId="0" applyFont="1" applyFill="1" applyBorder="1" applyAlignment="1">
      <alignment horizontal="center"/>
    </xf>
    <xf numFmtId="0" fontId="10" fillId="11" borderId="49" xfId="0" applyFont="1" applyFill="1" applyBorder="1" applyAlignment="1">
      <alignment horizontal="center"/>
    </xf>
    <xf numFmtId="169" fontId="0" fillId="0" borderId="49" xfId="1" applyNumberFormat="1" applyFont="1" applyBorder="1" applyAlignment="1">
      <alignment vertical="center"/>
    </xf>
    <xf numFmtId="169" fontId="8" fillId="0" borderId="49" xfId="1" applyNumberFormat="1" applyFont="1" applyBorder="1"/>
    <xf numFmtId="0" fontId="8" fillId="0" borderId="49" xfId="0" applyFont="1" applyBorder="1"/>
    <xf numFmtId="169" fontId="3" fillId="0" borderId="49" xfId="1" applyNumberFormat="1" applyFont="1" applyBorder="1"/>
    <xf numFmtId="0" fontId="3" fillId="0" borderId="49" xfId="0" applyFont="1" applyBorder="1"/>
    <xf numFmtId="169" fontId="53" fillId="0" borderId="49" xfId="1" applyNumberFormat="1" applyFont="1" applyBorder="1"/>
    <xf numFmtId="0" fontId="53" fillId="0" borderId="49" xfId="0" applyFont="1" applyBorder="1"/>
    <xf numFmtId="169" fontId="3" fillId="11" borderId="49" xfId="1" applyNumberFormat="1" applyFont="1" applyFill="1" applyBorder="1"/>
    <xf numFmtId="0" fontId="3" fillId="11" borderId="49" xfId="0" applyFont="1" applyFill="1" applyBorder="1"/>
    <xf numFmtId="0" fontId="7" fillId="0" borderId="49" xfId="0" applyFont="1" applyFill="1" applyBorder="1" applyAlignment="1">
      <alignment vertical="center"/>
    </xf>
    <xf numFmtId="0" fontId="7" fillId="0" borderId="49" xfId="0" applyFont="1" applyFill="1" applyBorder="1"/>
    <xf numFmtId="0" fontId="7" fillId="0" borderId="49" xfId="0" applyFont="1" applyFill="1" applyBorder="1" applyAlignment="1">
      <alignment horizontal="left"/>
    </xf>
    <xf numFmtId="1" fontId="36" fillId="0" borderId="1" xfId="0" applyNumberFormat="1" applyFont="1" applyFill="1" applyBorder="1"/>
    <xf numFmtId="1" fontId="36" fillId="11" borderId="1" xfId="0" applyNumberFormat="1" applyFont="1" applyFill="1" applyBorder="1" applyAlignment="1">
      <alignment horizontal="right" vertical="center"/>
    </xf>
    <xf numFmtId="1" fontId="37" fillId="11" borderId="1" xfId="0" applyNumberFormat="1" applyFont="1" applyFill="1" applyBorder="1" applyAlignment="1">
      <alignment horizontal="right" vertical="center"/>
    </xf>
    <xf numFmtId="0" fontId="9" fillId="18" borderId="23" xfId="0" applyFont="1" applyFill="1" applyBorder="1" applyAlignment="1">
      <alignment horizontal="center" vertical="center"/>
    </xf>
    <xf numFmtId="0" fontId="9" fillId="18" borderId="23" xfId="0" applyFont="1" applyFill="1" applyBorder="1" applyAlignment="1">
      <alignment horizontal="right" vertical="center"/>
    </xf>
    <xf numFmtId="2" fontId="9" fillId="18" borderId="23" xfId="0" applyNumberFormat="1" applyFont="1" applyFill="1" applyBorder="1" applyAlignment="1">
      <alignment horizontal="right" vertical="center"/>
    </xf>
    <xf numFmtId="0" fontId="9" fillId="11" borderId="23" xfId="0" applyFont="1" applyFill="1" applyBorder="1" applyAlignment="1">
      <alignment horizontal="right" vertical="center"/>
    </xf>
    <xf numFmtId="2" fontId="9" fillId="11" borderId="23" xfId="0" applyNumberFormat="1" applyFont="1" applyFill="1" applyBorder="1" applyAlignment="1">
      <alignment horizontal="right" vertical="center"/>
    </xf>
    <xf numFmtId="0" fontId="28" fillId="19" borderId="23" xfId="9" applyFont="1" applyFill="1" applyBorder="1" applyAlignment="1">
      <alignment horizontal="center" vertical="center"/>
    </xf>
    <xf numFmtId="0" fontId="9" fillId="10" borderId="49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0" borderId="22" xfId="0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165" fontId="10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/>
    </xf>
    <xf numFmtId="0" fontId="10" fillId="0" borderId="22" xfId="0" applyFont="1" applyFill="1" applyBorder="1" applyAlignment="1">
      <alignment horizontal="center" vertical="top" wrapText="1"/>
    </xf>
    <xf numFmtId="0" fontId="10" fillId="0" borderId="52" xfId="0" applyFont="1" applyFill="1" applyBorder="1" applyAlignment="1">
      <alignment vertical="top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vertical="top" wrapText="1"/>
    </xf>
    <xf numFmtId="165" fontId="10" fillId="0" borderId="2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53" xfId="0" applyBorder="1" applyAlignment="1">
      <alignment horizontal="center"/>
    </xf>
    <xf numFmtId="0" fontId="10" fillId="0" borderId="22" xfId="0" applyFont="1" applyFill="1" applyBorder="1" applyAlignment="1">
      <alignment vertical="top" wrapText="1"/>
    </xf>
    <xf numFmtId="165" fontId="10" fillId="0" borderId="22" xfId="0" applyNumberFormat="1" applyFont="1" applyFill="1" applyBorder="1" applyAlignment="1">
      <alignment horizontal="center" vertical="top" wrapText="1"/>
    </xf>
    <xf numFmtId="0" fontId="10" fillId="0" borderId="22" xfId="0" applyFont="1" applyFill="1" applyBorder="1" applyAlignment="1">
      <alignment horizontal="center" vertical="top"/>
    </xf>
    <xf numFmtId="2" fontId="0" fillId="0" borderId="22" xfId="0" applyNumberFormat="1" applyBorder="1" applyAlignment="1">
      <alignment horizontal="center" vertical="center"/>
    </xf>
    <xf numFmtId="0" fontId="10" fillId="0" borderId="1" xfId="8" applyFont="1" applyFill="1" applyBorder="1" applyAlignment="1">
      <alignment horizontal="left" vertical="top" wrapText="1"/>
    </xf>
    <xf numFmtId="0" fontId="10" fillId="0" borderId="1" xfId="8" applyFont="1" applyFill="1" applyBorder="1" applyAlignment="1">
      <alignment horizontal="center" vertical="center" wrapText="1"/>
    </xf>
    <xf numFmtId="0" fontId="10" fillId="0" borderId="1" xfId="8" applyFont="1" applyFill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center" vertical="center"/>
    </xf>
    <xf numFmtId="1" fontId="10" fillId="0" borderId="1" xfId="8" applyNumberFormat="1" applyFont="1" applyFill="1" applyBorder="1" applyAlignment="1">
      <alignment horizontal="center" vertical="center"/>
    </xf>
    <xf numFmtId="17" fontId="10" fillId="0" borderId="1" xfId="8" quotePrefix="1" applyNumberFormat="1" applyFont="1" applyFill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8" applyFont="1" applyFill="1" applyBorder="1" applyAlignment="1">
      <alignment horizontal="left" vertical="justify"/>
    </xf>
    <xf numFmtId="37" fontId="10" fillId="0" borderId="1" xfId="1" applyNumberFormat="1" applyFont="1" applyFill="1" applyBorder="1" applyAlignment="1">
      <alignment horizontal="center" vertical="center"/>
    </xf>
    <xf numFmtId="1" fontId="10" fillId="0" borderId="1" xfId="8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10" fillId="0" borderId="1" xfId="8" applyFont="1" applyFill="1" applyBorder="1" applyAlignment="1">
      <alignment horizontal="left" vertical="justify" shrinkToFit="1"/>
    </xf>
    <xf numFmtId="0" fontId="10" fillId="0" borderId="1" xfId="8" applyFont="1" applyFill="1" applyBorder="1" applyAlignment="1">
      <alignment horizontal="center" vertical="top" wrapText="1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vertical="center" wrapText="1"/>
    </xf>
    <xf numFmtId="0" fontId="10" fillId="0" borderId="1" xfId="8" applyFont="1" applyFill="1" applyBorder="1" applyAlignment="1">
      <alignment horizontal="left" vertical="center" wrapText="1"/>
    </xf>
    <xf numFmtId="0" fontId="15" fillId="0" borderId="2" xfId="7" applyFont="1" applyFill="1" applyBorder="1" applyAlignment="1">
      <alignment vertical="top" wrapText="1"/>
    </xf>
    <xf numFmtId="0" fontId="15" fillId="0" borderId="2" xfId="7" applyFont="1" applyFill="1" applyBorder="1" applyAlignment="1">
      <alignment horizontal="center" vertical="center" wrapText="1"/>
    </xf>
    <xf numFmtId="0" fontId="26" fillId="0" borderId="2" xfId="7" applyFont="1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0" fontId="15" fillId="0" borderId="1" xfId="7" applyFont="1" applyFill="1" applyBorder="1" applyAlignment="1">
      <alignment vertical="top" wrapText="1"/>
    </xf>
    <xf numFmtId="0" fontId="15" fillId="0" borderId="1" xfId="7" applyFont="1" applyFill="1" applyBorder="1" applyAlignment="1">
      <alignment horizontal="center" vertical="center" wrapText="1"/>
    </xf>
    <xf numFmtId="0" fontId="26" fillId="0" borderId="1" xfId="7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70" fontId="26" fillId="0" borderId="1" xfId="2" applyNumberFormat="1" applyFont="1" applyFill="1" applyBorder="1" applyAlignment="1">
      <alignment vertical="center"/>
    </xf>
    <xf numFmtId="170" fontId="26" fillId="0" borderId="1" xfId="7" applyNumberFormat="1" applyFont="1" applyFill="1" applyBorder="1" applyAlignment="1">
      <alignment horizontal="center" vertical="center" wrapText="1"/>
    </xf>
    <xf numFmtId="170" fontId="0" fillId="0" borderId="1" xfId="0" applyNumberFormat="1" applyBorder="1" applyAlignment="1">
      <alignment horizontal="center" vertical="center" wrapText="1"/>
    </xf>
    <xf numFmtId="0" fontId="10" fillId="0" borderId="1" xfId="7" applyFont="1" applyFill="1" applyBorder="1" applyAlignment="1">
      <alignment vertical="top" wrapText="1"/>
    </xf>
    <xf numFmtId="0" fontId="15" fillId="0" borderId="1" xfId="7" applyFont="1" applyFill="1" applyBorder="1" applyAlignment="1">
      <alignment horizontal="center" vertical="top" wrapText="1"/>
    </xf>
    <xf numFmtId="0" fontId="26" fillId="0" borderId="1" xfId="2" applyNumberFormat="1" applyFont="1" applyFill="1" applyBorder="1" applyAlignment="1">
      <alignment horizontal="center" vertical="center"/>
    </xf>
    <xf numFmtId="0" fontId="26" fillId="0" borderId="1" xfId="7" applyFont="1" applyFill="1" applyBorder="1" applyAlignment="1">
      <alignment horizontal="center" vertical="center"/>
    </xf>
    <xf numFmtId="170" fontId="26" fillId="0" borderId="1" xfId="7" applyNumberFormat="1" applyFont="1" applyFill="1" applyBorder="1" applyAlignment="1">
      <alignment vertical="center"/>
    </xf>
    <xf numFmtId="0" fontId="10" fillId="0" borderId="1" xfId="7" applyFont="1" applyFill="1" applyBorder="1" applyAlignment="1">
      <alignment horizontal="center" vertical="center" wrapText="1"/>
    </xf>
    <xf numFmtId="170" fontId="26" fillId="0" borderId="1" xfId="2" applyNumberFormat="1" applyFont="1" applyFill="1" applyBorder="1" applyAlignment="1">
      <alignment vertical="center" wrapText="1"/>
    </xf>
    <xf numFmtId="0" fontId="26" fillId="0" borderId="1" xfId="7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11" borderId="0" xfId="0" applyFill="1" applyBorder="1"/>
    <xf numFmtId="0" fontId="26" fillId="0" borderId="1" xfId="5" applyFont="1" applyFill="1" applyBorder="1" applyAlignment="1">
      <alignment horizontal="left" vertical="top" wrapText="1"/>
    </xf>
    <xf numFmtId="0" fontId="10" fillId="0" borderId="1" xfId="6" applyNumberFormat="1" applyFont="1" applyFill="1" applyBorder="1" applyAlignment="1">
      <alignment horizontal="left" vertical="top" wrapText="1"/>
    </xf>
    <xf numFmtId="0" fontId="10" fillId="0" borderId="1" xfId="6" applyNumberFormat="1" applyFont="1" applyFill="1" applyBorder="1" applyAlignment="1">
      <alignment horizontal="center" vertical="center" wrapText="1"/>
    </xf>
    <xf numFmtId="0" fontId="26" fillId="0" borderId="1" xfId="5" applyFont="1" applyFill="1" applyBorder="1" applyAlignment="1">
      <alignment horizontal="center" vertical="center" wrapText="1"/>
    </xf>
    <xf numFmtId="1" fontId="26" fillId="0" borderId="1" xfId="5" applyNumberFormat="1" applyFont="1" applyFill="1" applyBorder="1" applyAlignment="1">
      <alignment horizontal="center" vertical="center" wrapText="1"/>
    </xf>
    <xf numFmtId="0" fontId="26" fillId="0" borderId="1" xfId="5" applyNumberFormat="1" applyFont="1" applyFill="1" applyBorder="1" applyAlignment="1">
      <alignment horizontal="center" vertical="center" wrapText="1"/>
    </xf>
    <xf numFmtId="0" fontId="10" fillId="0" borderId="22" xfId="5" applyFont="1" applyFill="1" applyBorder="1" applyAlignment="1">
      <alignment horizontal="left" vertical="top" wrapText="1"/>
    </xf>
    <xf numFmtId="0" fontId="10" fillId="0" borderId="1" xfId="6" applyNumberFormat="1" applyFont="1" applyFill="1" applyBorder="1" applyAlignment="1">
      <alignment vertical="top" wrapText="1"/>
    </xf>
    <xf numFmtId="0" fontId="26" fillId="0" borderId="52" xfId="5" applyFont="1" applyFill="1" applyBorder="1" applyAlignment="1">
      <alignment vertical="top" wrapText="1"/>
    </xf>
    <xf numFmtId="0" fontId="26" fillId="0" borderId="54" xfId="5" applyFont="1" applyFill="1" applyBorder="1" applyAlignment="1">
      <alignment horizontal="left" vertical="top"/>
    </xf>
    <xf numFmtId="0" fontId="26" fillId="0" borderId="52" xfId="5" applyFont="1" applyFill="1" applyBorder="1" applyAlignment="1">
      <alignment horizontal="left" vertical="top" wrapText="1"/>
    </xf>
    <xf numFmtId="0" fontId="26" fillId="0" borderId="2" xfId="5" applyFont="1" applyFill="1" applyBorder="1" applyAlignment="1">
      <alignment horizontal="left" vertical="top"/>
    </xf>
    <xf numFmtId="0" fontId="26" fillId="0" borderId="2" xfId="5" applyFont="1" applyFill="1" applyBorder="1" applyAlignment="1">
      <alignment horizontal="left" vertical="top" wrapText="1"/>
    </xf>
    <xf numFmtId="0" fontId="10" fillId="0" borderId="1" xfId="5" applyFont="1" applyFill="1" applyBorder="1" applyAlignment="1">
      <alignment horizontal="left" vertical="top" wrapText="1"/>
    </xf>
    <xf numFmtId="0" fontId="26" fillId="0" borderId="1" xfId="7" applyFont="1" applyFill="1" applyBorder="1" applyAlignment="1">
      <alignment horizontal="left" vertical="top" wrapText="1"/>
    </xf>
    <xf numFmtId="0" fontId="26" fillId="0" borderId="1" xfId="7" applyFont="1" applyFill="1" applyBorder="1" applyAlignment="1">
      <alignment vertical="top" wrapText="1"/>
    </xf>
    <xf numFmtId="1" fontId="26" fillId="0" borderId="1" xfId="5" applyNumberFormat="1" applyFont="1" applyFill="1" applyBorder="1" applyAlignment="1">
      <alignment horizontal="center" vertical="center"/>
    </xf>
    <xf numFmtId="1" fontId="26" fillId="0" borderId="1" xfId="7" applyNumberFormat="1" applyFont="1" applyFill="1" applyBorder="1" applyAlignment="1">
      <alignment horizontal="center" vertical="center"/>
    </xf>
    <xf numFmtId="0" fontId="26" fillId="0" borderId="1" xfId="7" applyFont="1" applyFill="1" applyBorder="1" applyAlignment="1">
      <alignment horizontal="center" vertical="top"/>
    </xf>
    <xf numFmtId="1" fontId="0" fillId="0" borderId="1" xfId="0" applyNumberFormat="1" applyBorder="1" applyAlignment="1">
      <alignment horizontal="center" vertical="center"/>
    </xf>
    <xf numFmtId="0" fontId="26" fillId="0" borderId="1" xfId="7" applyFont="1" applyFill="1" applyBorder="1" applyAlignment="1">
      <alignment horizontal="left" vertical="center" wrapText="1"/>
    </xf>
    <xf numFmtId="0" fontId="10" fillId="0" borderId="1" xfId="0" quotePrefix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80" fillId="0" borderId="1" xfId="0" applyFont="1" applyBorder="1" applyAlignment="1">
      <alignment horizontal="center" vertical="center"/>
    </xf>
    <xf numFmtId="0" fontId="26" fillId="0" borderId="1" xfId="7" applyFont="1" applyFill="1" applyBorder="1" applyAlignment="1">
      <alignment horizontal="left" vertical="center"/>
    </xf>
    <xf numFmtId="0" fontId="10" fillId="0" borderId="1" xfId="8" applyFont="1" applyFill="1" applyBorder="1" applyAlignment="1">
      <alignment vertical="top" wrapText="1"/>
    </xf>
    <xf numFmtId="165" fontId="28" fillId="19" borderId="23" xfId="9" applyNumberFormat="1" applyFont="1" applyFill="1" applyBorder="1" applyAlignment="1">
      <alignment horizontal="center" vertical="center"/>
    </xf>
    <xf numFmtId="2" fontId="28" fillId="19" borderId="23" xfId="9" applyNumberFormat="1" applyFont="1" applyFill="1" applyBorder="1" applyAlignment="1">
      <alignment horizontal="center" vertical="center"/>
    </xf>
    <xf numFmtId="0" fontId="28" fillId="19" borderId="23" xfId="9" applyFont="1" applyFill="1" applyBorder="1" applyAlignment="1">
      <alignment horizontal="right" vertical="center"/>
    </xf>
    <xf numFmtId="0" fontId="39" fillId="19" borderId="23" xfId="9" applyFont="1" applyFill="1" applyBorder="1" applyAlignment="1">
      <alignment horizontal="right" vertical="center"/>
    </xf>
    <xf numFmtId="2" fontId="10" fillId="0" borderId="1" xfId="8" applyNumberFormat="1" applyFont="1" applyFill="1" applyBorder="1" applyAlignment="1">
      <alignment horizontal="right" vertical="top" wrapText="1"/>
    </xf>
    <xf numFmtId="169" fontId="0" fillId="11" borderId="49" xfId="1" applyNumberFormat="1" applyFont="1" applyFill="1" applyBorder="1"/>
    <xf numFmtId="0" fontId="0" fillId="11" borderId="49" xfId="0" applyFill="1" applyBorder="1"/>
    <xf numFmtId="49" fontId="10" fillId="0" borderId="1" xfId="6" applyNumberFormat="1" applyFont="1" applyBorder="1" applyAlignment="1">
      <alignment horizontal="center" vertical="top" wrapText="1"/>
    </xf>
    <xf numFmtId="0" fontId="10" fillId="0" borderId="1" xfId="5" applyFont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49" fontId="9" fillId="0" borderId="1" xfId="6" applyNumberFormat="1" applyFont="1" applyBorder="1" applyAlignment="1">
      <alignment horizontal="left" vertical="top" wrapText="1"/>
    </xf>
    <xf numFmtId="0" fontId="10" fillId="0" borderId="1" xfId="5" applyFont="1" applyFill="1" applyBorder="1" applyAlignment="1">
      <alignment horizontal="center" vertical="top" wrapText="1"/>
    </xf>
    <xf numFmtId="49" fontId="9" fillId="0" borderId="1" xfId="6" applyNumberFormat="1" applyFont="1" applyFill="1" applyBorder="1" applyAlignment="1">
      <alignment horizontal="left" vertical="top" wrapText="1"/>
    </xf>
    <xf numFmtId="4" fontId="10" fillId="0" borderId="1" xfId="5" applyNumberFormat="1" applyFont="1" applyFill="1" applyBorder="1" applyAlignment="1">
      <alignment horizontal="center" vertical="top" wrapText="1"/>
    </xf>
    <xf numFmtId="171" fontId="10" fillId="0" borderId="1" xfId="6" applyNumberFormat="1" applyFont="1" applyFill="1" applyBorder="1" applyAlignment="1">
      <alignment horizontal="center" vertical="top" wrapText="1"/>
    </xf>
    <xf numFmtId="49" fontId="10" fillId="0" borderId="55" xfId="6" applyNumberFormat="1" applyFont="1" applyBorder="1" applyAlignment="1">
      <alignment horizontal="left" vertical="top" wrapText="1"/>
    </xf>
    <xf numFmtId="49" fontId="9" fillId="0" borderId="1" xfId="6" applyNumberFormat="1" applyFont="1" applyBorder="1" applyAlignment="1">
      <alignment horizontal="left" wrapText="1"/>
    </xf>
    <xf numFmtId="49" fontId="9" fillId="0" borderId="1" xfId="6" applyNumberFormat="1" applyFont="1" applyFill="1" applyBorder="1" applyAlignment="1">
      <alignment horizontal="left" wrapText="1"/>
    </xf>
    <xf numFmtId="49" fontId="10" fillId="0" borderId="1" xfId="6" applyNumberFormat="1" applyFont="1" applyBorder="1" applyAlignment="1">
      <alignment vertical="top" wrapText="1"/>
    </xf>
    <xf numFmtId="49" fontId="10" fillId="0" borderId="1" xfId="6" applyNumberFormat="1" applyFont="1" applyFill="1" applyBorder="1" applyAlignment="1">
      <alignment vertical="top" wrapText="1"/>
    </xf>
    <xf numFmtId="49" fontId="10" fillId="0" borderId="55" xfId="6" applyNumberFormat="1" applyFont="1" applyBorder="1" applyAlignment="1">
      <alignment vertical="top" wrapText="1"/>
    </xf>
    <xf numFmtId="49" fontId="10" fillId="0" borderId="1" xfId="6" applyNumberFormat="1" applyFont="1" applyFill="1" applyBorder="1" applyAlignment="1">
      <alignment horizontal="center" vertical="top" wrapText="1"/>
    </xf>
    <xf numFmtId="0" fontId="10" fillId="0" borderId="1" xfId="5" applyFont="1" applyFill="1" applyBorder="1" applyAlignment="1">
      <alignment vertical="top" wrapText="1"/>
    </xf>
    <xf numFmtId="49" fontId="10" fillId="0" borderId="55" xfId="6" applyNumberFormat="1" applyFont="1" applyBorder="1" applyAlignment="1">
      <alignment horizontal="center" vertical="top" wrapText="1"/>
    </xf>
    <xf numFmtId="0" fontId="84" fillId="0" borderId="55" xfId="0" applyFont="1" applyBorder="1" applyAlignment="1">
      <alignment vertical="top" wrapText="1"/>
    </xf>
    <xf numFmtId="0" fontId="10" fillId="0" borderId="1" xfId="5" applyFont="1" applyBorder="1" applyAlignment="1">
      <alignment horizontal="left" vertical="top" wrapText="1"/>
    </xf>
    <xf numFmtId="49" fontId="4" fillId="0" borderId="1" xfId="6" applyNumberFormat="1" applyFont="1" applyBorder="1" applyAlignment="1">
      <alignment horizontal="left" vertical="top" wrapText="1"/>
    </xf>
    <xf numFmtId="49" fontId="4" fillId="0" borderId="1" xfId="6" applyNumberFormat="1" applyFont="1" applyBorder="1" applyAlignment="1">
      <alignment vertical="top" wrapText="1"/>
    </xf>
    <xf numFmtId="169" fontId="8" fillId="11" borderId="49" xfId="1" applyNumberFormat="1" applyFont="1" applyFill="1" applyBorder="1"/>
    <xf numFmtId="0" fontId="8" fillId="11" borderId="49" xfId="0" applyFont="1" applyFill="1" applyBorder="1"/>
    <xf numFmtId="49" fontId="9" fillId="0" borderId="55" xfId="6" applyNumberFormat="1" applyFont="1" applyBorder="1" applyAlignment="1">
      <alignment horizontal="center" vertical="top" wrapText="1"/>
    </xf>
    <xf numFmtId="49" fontId="9" fillId="46" borderId="1" xfId="6" applyNumberFormat="1" applyFont="1" applyFill="1" applyBorder="1" applyAlignment="1">
      <alignment horizontal="left" vertical="top" wrapText="1"/>
    </xf>
    <xf numFmtId="0" fontId="9" fillId="46" borderId="1" xfId="5" applyFont="1" applyFill="1" applyBorder="1" applyAlignment="1">
      <alignment vertical="top" wrapText="1"/>
    </xf>
    <xf numFmtId="0" fontId="28" fillId="46" borderId="1" xfId="0" applyFont="1" applyFill="1" applyBorder="1" applyAlignment="1">
      <alignment vertical="top" wrapText="1"/>
    </xf>
    <xf numFmtId="0" fontId="9" fillId="46" borderId="1" xfId="5" applyFont="1" applyFill="1" applyBorder="1" applyAlignment="1">
      <alignment horizontal="center" vertical="top" wrapText="1"/>
    </xf>
    <xf numFmtId="4" fontId="9" fillId="46" borderId="1" xfId="5" applyNumberFormat="1" applyFont="1" applyFill="1" applyBorder="1" applyAlignment="1">
      <alignment horizontal="center" vertical="top" wrapText="1"/>
    </xf>
    <xf numFmtId="49" fontId="9" fillId="46" borderId="55" xfId="6" applyNumberFormat="1" applyFont="1" applyFill="1" applyBorder="1" applyAlignment="1">
      <alignment horizontal="left" vertical="top" wrapText="1"/>
    </xf>
    <xf numFmtId="0" fontId="9" fillId="46" borderId="56" xfId="5" applyFont="1" applyFill="1" applyBorder="1" applyAlignment="1">
      <alignment vertical="top" wrapText="1"/>
    </xf>
    <xf numFmtId="49" fontId="9" fillId="46" borderId="56" xfId="6" applyNumberFormat="1" applyFont="1" applyFill="1" applyBorder="1" applyAlignment="1">
      <alignment horizontal="left" wrapText="1"/>
    </xf>
    <xf numFmtId="0" fontId="9" fillId="46" borderId="56" xfId="5" applyFont="1" applyFill="1" applyBorder="1" applyAlignment="1">
      <alignment horizontal="center" vertical="top" wrapText="1"/>
    </xf>
    <xf numFmtId="4" fontId="9" fillId="46" borderId="56" xfId="5" applyNumberFormat="1" applyFont="1" applyFill="1" applyBorder="1" applyAlignment="1">
      <alignment horizontal="center" vertical="top" wrapText="1"/>
    </xf>
    <xf numFmtId="49" fontId="9" fillId="46" borderId="56" xfId="6" applyNumberFormat="1" applyFont="1" applyFill="1" applyBorder="1" applyAlignment="1">
      <alignment horizontal="left" vertical="top" wrapText="1"/>
    </xf>
    <xf numFmtId="49" fontId="9" fillId="46" borderId="56" xfId="6" applyNumberFormat="1" applyFont="1" applyFill="1" applyBorder="1" applyAlignment="1">
      <alignment vertical="top" wrapText="1"/>
    </xf>
    <xf numFmtId="49" fontId="9" fillId="46" borderId="56" xfId="6" applyNumberFormat="1" applyFont="1" applyFill="1" applyBorder="1" applyAlignment="1">
      <alignment horizontal="center" vertical="top" wrapText="1"/>
    </xf>
    <xf numFmtId="49" fontId="10" fillId="11" borderId="22" xfId="6" applyNumberFormat="1" applyFont="1" applyFill="1" applyBorder="1" applyAlignment="1">
      <alignment horizontal="center" vertical="top" wrapText="1"/>
    </xf>
    <xf numFmtId="49" fontId="10" fillId="11" borderId="1" xfId="6" applyNumberFormat="1" applyFont="1" applyFill="1" applyBorder="1" applyAlignment="1">
      <alignment vertical="top" wrapText="1"/>
    </xf>
    <xf numFmtId="0" fontId="10" fillId="11" borderId="22" xfId="5" applyFont="1" applyFill="1" applyBorder="1" applyAlignment="1">
      <alignment horizontal="left" vertical="top" wrapText="1"/>
    </xf>
    <xf numFmtId="0" fontId="10" fillId="11" borderId="1" xfId="5" applyFont="1" applyFill="1" applyBorder="1" applyAlignment="1">
      <alignment vertical="top" wrapText="1"/>
    </xf>
    <xf numFmtId="49" fontId="9" fillId="11" borderId="22" xfId="6" applyNumberFormat="1" applyFont="1" applyFill="1" applyBorder="1" applyAlignment="1">
      <alignment horizontal="left" vertical="top" wrapText="1"/>
    </xf>
    <xf numFmtId="0" fontId="10" fillId="11" borderId="22" xfId="5" applyFont="1" applyFill="1" applyBorder="1" applyAlignment="1">
      <alignment horizontal="center" vertical="top" wrapText="1"/>
    </xf>
    <xf numFmtId="4" fontId="10" fillId="11" borderId="22" xfId="5" applyNumberFormat="1" applyFont="1" applyFill="1" applyBorder="1" applyAlignment="1">
      <alignment horizontal="center" vertical="top" wrapText="1"/>
    </xf>
    <xf numFmtId="49" fontId="10" fillId="11" borderId="55" xfId="6" applyNumberFormat="1" applyFont="1" applyFill="1" applyBorder="1" applyAlignment="1">
      <alignment horizontal="center" vertical="top" wrapText="1"/>
    </xf>
    <xf numFmtId="49" fontId="10" fillId="11" borderId="1" xfId="6" applyNumberFormat="1" applyFont="1" applyFill="1" applyBorder="1" applyAlignment="1">
      <alignment horizontal="center" vertical="top" wrapText="1"/>
    </xf>
    <xf numFmtId="49" fontId="9" fillId="11" borderId="1" xfId="6" applyNumberFormat="1" applyFont="1" applyFill="1" applyBorder="1" applyAlignment="1">
      <alignment horizontal="left" vertical="top" wrapText="1"/>
    </xf>
    <xf numFmtId="0" fontId="10" fillId="11" borderId="1" xfId="5" applyFont="1" applyFill="1" applyBorder="1" applyAlignment="1">
      <alignment horizontal="center" vertical="top" wrapText="1"/>
    </xf>
    <xf numFmtId="4" fontId="10" fillId="11" borderId="1" xfId="5" applyNumberFormat="1" applyFont="1" applyFill="1" applyBorder="1" applyAlignment="1">
      <alignment horizontal="center" vertical="top" wrapText="1"/>
    </xf>
    <xf numFmtId="0" fontId="26" fillId="11" borderId="23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2" fontId="3" fillId="11" borderId="23" xfId="0" applyNumberFormat="1" applyFont="1" applyFill="1" applyBorder="1" applyAlignment="1">
      <alignment vertical="center"/>
    </xf>
    <xf numFmtId="2" fontId="16" fillId="11" borderId="23" xfId="0" applyNumberFormat="1" applyFont="1" applyFill="1" applyBorder="1" applyAlignment="1">
      <alignment vertical="center"/>
    </xf>
    <xf numFmtId="2" fontId="3" fillId="0" borderId="23" xfId="0" applyNumberFormat="1" applyFont="1" applyFill="1" applyBorder="1" applyAlignment="1">
      <alignment vertical="center"/>
    </xf>
    <xf numFmtId="2" fontId="10" fillId="0" borderId="23" xfId="0" applyNumberFormat="1" applyFont="1" applyFill="1" applyBorder="1" applyAlignment="1">
      <alignment vertical="center"/>
    </xf>
    <xf numFmtId="0" fontId="41" fillId="11" borderId="23" xfId="0" applyFont="1" applyFill="1" applyBorder="1" applyAlignment="1">
      <alignment vertical="center"/>
    </xf>
    <xf numFmtId="0" fontId="41" fillId="11" borderId="23" xfId="0" applyFont="1" applyFill="1" applyBorder="1" applyAlignment="1">
      <alignment horizontal="left" vertical="center"/>
    </xf>
    <xf numFmtId="0" fontId="10" fillId="11" borderId="23" xfId="0" applyFont="1" applyFill="1" applyBorder="1" applyAlignment="1">
      <alignment horizontal="left" vertical="top" wrapText="1"/>
    </xf>
    <xf numFmtId="0" fontId="3" fillId="11" borderId="23" xfId="0" applyFont="1" applyFill="1" applyBorder="1"/>
    <xf numFmtId="0" fontId="5" fillId="11" borderId="23" xfId="0" applyFont="1" applyFill="1" applyBorder="1" applyAlignment="1">
      <alignment horizontal="center" vertical="center"/>
    </xf>
    <xf numFmtId="169" fontId="3" fillId="11" borderId="23" xfId="1" applyNumberFormat="1" applyFont="1" applyFill="1" applyBorder="1" applyAlignment="1">
      <alignment horizontal="center" vertical="center"/>
    </xf>
    <xf numFmtId="0" fontId="14" fillId="11" borderId="23" xfId="0" applyFont="1" applyFill="1" applyBorder="1" applyAlignment="1">
      <alignment horizontal="left" vertical="center"/>
    </xf>
    <xf numFmtId="0" fontId="14" fillId="11" borderId="23" xfId="0" applyFont="1" applyFill="1" applyBorder="1" applyAlignment="1">
      <alignment horizontal="center" vertical="center"/>
    </xf>
    <xf numFmtId="0" fontId="14" fillId="11" borderId="23" xfId="0" applyFont="1" applyFill="1" applyBorder="1" applyAlignment="1">
      <alignment horizontal="center"/>
    </xf>
    <xf numFmtId="0" fontId="4" fillId="11" borderId="23" xfId="0" applyFont="1" applyFill="1" applyBorder="1" applyAlignment="1">
      <alignment horizontal="left" vertical="center" wrapText="1"/>
    </xf>
    <xf numFmtId="17" fontId="3" fillId="11" borderId="23" xfId="0" applyNumberFormat="1" applyFont="1" applyFill="1" applyBorder="1" applyAlignment="1">
      <alignment horizontal="left" vertical="top" wrapText="1"/>
    </xf>
    <xf numFmtId="17" fontId="3" fillId="11" borderId="23" xfId="0" applyNumberFormat="1" applyFont="1" applyFill="1" applyBorder="1" applyAlignment="1">
      <alignment wrapText="1"/>
    </xf>
    <xf numFmtId="17" fontId="3" fillId="11" borderId="23" xfId="0" applyNumberFormat="1" applyFont="1" applyFill="1" applyBorder="1" applyAlignment="1">
      <alignment horizontal="left" wrapText="1"/>
    </xf>
    <xf numFmtId="17" fontId="3" fillId="11" borderId="23" xfId="0" applyNumberFormat="1" applyFont="1" applyFill="1" applyBorder="1" applyAlignment="1">
      <alignment horizontal="left" vertical="center"/>
    </xf>
    <xf numFmtId="0" fontId="4" fillId="11" borderId="23" xfId="0" applyFont="1" applyFill="1" applyBorder="1" applyAlignment="1">
      <alignment vertical="center"/>
    </xf>
    <xf numFmtId="0" fontId="4" fillId="11" borderId="23" xfId="0" applyFont="1" applyFill="1" applyBorder="1" applyAlignment="1">
      <alignment horizontal="left" vertical="center"/>
    </xf>
    <xf numFmtId="0" fontId="10" fillId="11" borderId="23" xfId="0" applyFont="1" applyFill="1" applyBorder="1" applyAlignment="1">
      <alignment horizontal="center" vertical="top"/>
    </xf>
    <xf numFmtId="2" fontId="10" fillId="11" borderId="23" xfId="0" applyNumberFormat="1" applyFont="1" applyFill="1" applyBorder="1" applyAlignment="1">
      <alignment horizontal="right" vertical="top"/>
    </xf>
    <xf numFmtId="17" fontId="3" fillId="11" borderId="23" xfId="0" applyNumberFormat="1" applyFont="1" applyFill="1" applyBorder="1" applyAlignment="1">
      <alignment horizontal="center" vertical="center"/>
    </xf>
    <xf numFmtId="169" fontId="3" fillId="11" borderId="23" xfId="1" applyNumberFormat="1" applyFont="1" applyFill="1" applyBorder="1"/>
    <xf numFmtId="0" fontId="10" fillId="11" borderId="23" xfId="0" applyFont="1" applyFill="1" applyBorder="1" applyAlignment="1">
      <alignment horizontal="center" wrapText="1"/>
    </xf>
    <xf numFmtId="17" fontId="3" fillId="11" borderId="23" xfId="0" applyNumberFormat="1" applyFont="1" applyFill="1" applyBorder="1" applyAlignment="1">
      <alignment horizontal="left" vertical="top"/>
    </xf>
    <xf numFmtId="17" fontId="3" fillId="11" borderId="23" xfId="0" applyNumberFormat="1" applyFont="1" applyFill="1" applyBorder="1" applyAlignment="1">
      <alignment horizontal="left"/>
    </xf>
    <xf numFmtId="0" fontId="8" fillId="11" borderId="23" xfId="0" applyFont="1" applyFill="1" applyBorder="1" applyAlignment="1">
      <alignment vertical="center" wrapText="1"/>
    </xf>
    <xf numFmtId="0" fontId="3" fillId="11" borderId="23" xfId="0" applyFont="1" applyFill="1" applyBorder="1" applyAlignment="1">
      <alignment vertical="top" wrapText="1"/>
    </xf>
    <xf numFmtId="0" fontId="5" fillId="11" borderId="23" xfId="0" applyFont="1" applyFill="1" applyBorder="1" applyAlignment="1">
      <alignment horizontal="center"/>
    </xf>
    <xf numFmtId="169" fontId="3" fillId="11" borderId="23" xfId="1" applyNumberFormat="1" applyFont="1" applyFill="1" applyBorder="1" applyAlignment="1">
      <alignment vertical="center"/>
    </xf>
    <xf numFmtId="0" fontId="3" fillId="11" borderId="23" xfId="0" applyFont="1" applyFill="1" applyBorder="1" applyAlignment="1">
      <alignment horizontal="center"/>
    </xf>
    <xf numFmtId="0" fontId="16" fillId="11" borderId="25" xfId="0" applyFont="1" applyFill="1" applyBorder="1" applyAlignment="1">
      <alignment horizontal="center" vertical="center" wrapText="1"/>
    </xf>
    <xf numFmtId="0" fontId="16" fillId="11" borderId="50" xfId="0" applyFont="1" applyFill="1" applyBorder="1" applyAlignment="1">
      <alignment horizontal="right" vertical="center"/>
    </xf>
    <xf numFmtId="0" fontId="16" fillId="11" borderId="51" xfId="0" applyFont="1" applyFill="1" applyBorder="1" applyAlignment="1">
      <alignment horizontal="right" vertical="center"/>
    </xf>
    <xf numFmtId="43" fontId="1" fillId="11" borderId="0" xfId="52" applyNumberFormat="1" applyFont="1" applyFill="1" applyBorder="1" applyAlignment="1">
      <alignment horizontal="center" vertical="top"/>
    </xf>
    <xf numFmtId="43" fontId="1" fillId="11" borderId="0" xfId="52" applyNumberFormat="1" applyFont="1" applyFill="1" applyBorder="1" applyAlignment="1">
      <alignment horizontal="right" vertical="top"/>
    </xf>
    <xf numFmtId="165" fontId="22" fillId="3" borderId="6" xfId="0" applyNumberFormat="1" applyFont="1" applyFill="1" applyBorder="1" applyAlignment="1">
      <alignment horizontal="left" vertical="center"/>
    </xf>
    <xf numFmtId="0" fontId="10" fillId="7" borderId="23" xfId="0" applyFont="1" applyFill="1" applyBorder="1" applyAlignment="1">
      <alignment horizontal="center" vertical="center" wrapText="1"/>
    </xf>
    <xf numFmtId="0" fontId="3" fillId="6" borderId="23" xfId="0" applyFont="1" applyFill="1" applyBorder="1"/>
    <xf numFmtId="0" fontId="9" fillId="6" borderId="23" xfId="0" applyFont="1" applyFill="1" applyBorder="1" applyAlignment="1">
      <alignment horizontal="left" vertical="center"/>
    </xf>
    <xf numFmtId="0" fontId="41" fillId="6" borderId="23" xfId="0" applyFont="1" applyFill="1" applyBorder="1" applyAlignment="1">
      <alignment horizontal="left" vertical="center"/>
    </xf>
    <xf numFmtId="0" fontId="9" fillId="6" borderId="23" xfId="0" applyFont="1" applyFill="1" applyBorder="1" applyAlignment="1">
      <alignment horizontal="left" vertical="center" wrapText="1"/>
    </xf>
    <xf numFmtId="0" fontId="41" fillId="6" borderId="23" xfId="0" applyFont="1" applyFill="1" applyBorder="1" applyAlignment="1">
      <alignment vertical="center"/>
    </xf>
    <xf numFmtId="0" fontId="83" fillId="6" borderId="23" xfId="0" applyFont="1" applyFill="1" applyBorder="1" applyAlignment="1">
      <alignment vertical="center"/>
    </xf>
    <xf numFmtId="1" fontId="9" fillId="18" borderId="23" xfId="0" applyNumberFormat="1" applyFont="1" applyFill="1" applyBorder="1" applyAlignment="1">
      <alignment horizontal="center" vertical="center"/>
    </xf>
    <xf numFmtId="0" fontId="9" fillId="10" borderId="23" xfId="0" applyFont="1" applyFill="1" applyBorder="1" applyAlignment="1">
      <alignment horizontal="left" vertical="center"/>
    </xf>
    <xf numFmtId="0" fontId="5" fillId="6" borderId="23" xfId="0" applyFont="1" applyFill="1" applyBorder="1" applyAlignment="1">
      <alignment vertical="center"/>
    </xf>
    <xf numFmtId="0" fontId="9" fillId="10" borderId="23" xfId="0" applyFont="1" applyFill="1" applyBorder="1" applyAlignment="1">
      <alignment horizontal="center" vertical="center"/>
    </xf>
    <xf numFmtId="1" fontId="9" fillId="10" borderId="23" xfId="0" applyNumberFormat="1" applyFont="1" applyFill="1" applyBorder="1" applyAlignment="1">
      <alignment horizontal="center" vertical="center"/>
    </xf>
    <xf numFmtId="2" fontId="9" fillId="10" borderId="23" xfId="0" applyNumberFormat="1" applyFont="1" applyFill="1" applyBorder="1" applyAlignment="1">
      <alignment horizontal="right" vertical="center"/>
    </xf>
    <xf numFmtId="0" fontId="9" fillId="10" borderId="23" xfId="0" applyFont="1" applyFill="1" applyBorder="1" applyAlignment="1">
      <alignment horizontal="center"/>
    </xf>
    <xf numFmtId="169" fontId="3" fillId="10" borderId="23" xfId="1" applyNumberFormat="1" applyFont="1" applyFill="1" applyBorder="1"/>
    <xf numFmtId="0" fontId="3" fillId="11" borderId="23" xfId="0" applyFont="1" applyFill="1" applyBorder="1" applyAlignment="1">
      <alignment wrapText="1"/>
    </xf>
    <xf numFmtId="169" fontId="8" fillId="11" borderId="23" xfId="1" applyNumberFormat="1" applyFont="1" applyFill="1" applyBorder="1"/>
    <xf numFmtId="0" fontId="8" fillId="11" borderId="23" xfId="0" applyFont="1" applyFill="1" applyBorder="1"/>
    <xf numFmtId="49" fontId="3" fillId="11" borderId="21" xfId="0" applyNumberFormat="1" applyFont="1" applyFill="1" applyBorder="1" applyAlignment="1">
      <alignment horizontal="center" vertical="center"/>
    </xf>
    <xf numFmtId="169" fontId="0" fillId="0" borderId="60" xfId="1" applyNumberFormat="1" applyFont="1" applyBorder="1"/>
    <xf numFmtId="1" fontId="9" fillId="47" borderId="64" xfId="6" applyNumberFormat="1" applyFont="1" applyFill="1" applyBorder="1" applyAlignment="1">
      <alignment vertical="top" wrapText="1"/>
    </xf>
    <xf numFmtId="1" fontId="9" fillId="47" borderId="64" xfId="6" applyNumberFormat="1" applyFont="1" applyFill="1" applyBorder="1" applyAlignment="1">
      <alignment horizontal="center" vertical="top" wrapText="1"/>
    </xf>
    <xf numFmtId="4" fontId="9" fillId="47" borderId="64" xfId="6" applyNumberFormat="1" applyFont="1" applyFill="1" applyBorder="1" applyAlignment="1">
      <alignment horizontal="center" vertical="top" wrapText="1"/>
    </xf>
    <xf numFmtId="1" fontId="9" fillId="47" borderId="65" xfId="6" applyNumberFormat="1" applyFont="1" applyFill="1" applyBorder="1" applyAlignment="1">
      <alignment horizontal="center" vertical="top" wrapText="1"/>
    </xf>
    <xf numFmtId="0" fontId="30" fillId="7" borderId="66" xfId="0" applyFont="1" applyFill="1" applyBorder="1" applyAlignment="1">
      <alignment vertical="center"/>
    </xf>
    <xf numFmtId="0" fontId="30" fillId="7" borderId="66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left" vertical="center"/>
    </xf>
    <xf numFmtId="0" fontId="0" fillId="10" borderId="1" xfId="0" applyFill="1" applyBorder="1"/>
    <xf numFmtId="1" fontId="9" fillId="10" borderId="1" xfId="0" applyNumberFormat="1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left" wrapText="1"/>
    </xf>
    <xf numFmtId="0" fontId="9" fillId="14" borderId="21" xfId="0" applyFont="1" applyFill="1" applyBorder="1" applyAlignment="1">
      <alignment horizontal="center" vertical="center"/>
    </xf>
    <xf numFmtId="0" fontId="9" fillId="14" borderId="21" xfId="0" applyFont="1" applyFill="1" applyBorder="1" applyAlignment="1">
      <alignment horizontal="left" vertical="center"/>
    </xf>
    <xf numFmtId="0" fontId="9" fillId="14" borderId="21" xfId="0" applyFont="1" applyFill="1" applyBorder="1" applyAlignment="1">
      <alignment horizontal="center"/>
    </xf>
    <xf numFmtId="2" fontId="9" fillId="14" borderId="21" xfId="0" applyNumberFormat="1" applyFont="1" applyFill="1" applyBorder="1" applyAlignment="1">
      <alignment horizontal="right"/>
    </xf>
    <xf numFmtId="2" fontId="9" fillId="14" borderId="21" xfId="0" applyNumberFormat="1" applyFont="1" applyFill="1" applyBorder="1" applyAlignment="1">
      <alignment horizontal="right" vertical="center"/>
    </xf>
    <xf numFmtId="0" fontId="3" fillId="10" borderId="23" xfId="0" applyFont="1" applyFill="1" applyBorder="1"/>
    <xf numFmtId="0" fontId="9" fillId="10" borderId="23" xfId="0" applyFont="1" applyFill="1" applyBorder="1" applyAlignment="1" applyProtection="1">
      <alignment horizontal="center" vertical="center"/>
      <protection locked="0"/>
    </xf>
    <xf numFmtId="0" fontId="9" fillId="10" borderId="23" xfId="0" applyFont="1" applyFill="1" applyBorder="1" applyAlignment="1" applyProtection="1">
      <alignment horizontal="center" vertical="center"/>
    </xf>
    <xf numFmtId="2" fontId="9" fillId="10" borderId="23" xfId="0" applyNumberFormat="1" applyFont="1" applyFill="1" applyBorder="1" applyAlignment="1" applyProtection="1">
      <alignment horizontal="right" vertical="center"/>
    </xf>
    <xf numFmtId="2" fontId="9" fillId="7" borderId="23" xfId="0" applyNumberFormat="1" applyFont="1" applyFill="1" applyBorder="1" applyAlignment="1">
      <alignment horizontal="right" vertical="center"/>
    </xf>
    <xf numFmtId="0" fontId="9" fillId="7" borderId="23" xfId="0" applyFont="1" applyFill="1" applyBorder="1" applyAlignment="1">
      <alignment horizontal="center"/>
    </xf>
    <xf numFmtId="0" fontId="3" fillId="11" borderId="21" xfId="0" applyFont="1" applyFill="1" applyBorder="1" applyAlignment="1">
      <alignment horizontal="left"/>
    </xf>
    <xf numFmtId="0" fontId="3" fillId="0" borderId="0" xfId="0" applyFont="1" applyFill="1" applyAlignment="1"/>
    <xf numFmtId="0" fontId="16" fillId="11" borderId="21" xfId="0" applyFont="1" applyFill="1" applyBorder="1" applyAlignment="1"/>
    <xf numFmtId="0" fontId="10" fillId="0" borderId="1" xfId="0" applyFont="1" applyFill="1" applyBorder="1" applyAlignment="1">
      <alignment horizontal="center" vertical="center" wrapText="1"/>
    </xf>
    <xf numFmtId="167" fontId="10" fillId="11" borderId="24" xfId="0" applyNumberFormat="1" applyFont="1" applyFill="1" applyBorder="1" applyAlignment="1">
      <alignment vertical="center"/>
    </xf>
    <xf numFmtId="167" fontId="10" fillId="11" borderId="51" xfId="0" applyNumberFormat="1" applyFont="1" applyFill="1" applyBorder="1" applyAlignment="1">
      <alignment vertical="center"/>
    </xf>
    <xf numFmtId="2" fontId="0" fillId="10" borderId="49" xfId="0" applyNumberFormat="1" applyFill="1" applyBorder="1"/>
    <xf numFmtId="0" fontId="0" fillId="10" borderId="49" xfId="0" applyFill="1" applyBorder="1" applyAlignment="1">
      <alignment horizontal="center"/>
    </xf>
    <xf numFmtId="167" fontId="9" fillId="6" borderId="49" xfId="0" applyNumberFormat="1" applyFont="1" applyFill="1" applyBorder="1" applyAlignment="1">
      <alignment horizontal="right" vertical="top" wrapText="1"/>
    </xf>
    <xf numFmtId="4" fontId="9" fillId="10" borderId="49" xfId="0" applyNumberFormat="1" applyFont="1" applyFill="1" applyBorder="1" applyAlignment="1">
      <alignment vertical="center"/>
    </xf>
    <xf numFmtId="3" fontId="9" fillId="10" borderId="49" xfId="0" applyNumberFormat="1" applyFont="1" applyFill="1" applyBorder="1" applyAlignment="1">
      <alignment horizontal="center" vertical="center"/>
    </xf>
    <xf numFmtId="4" fontId="9" fillId="10" borderId="49" xfId="0" applyNumberFormat="1" applyFont="1" applyFill="1" applyBorder="1" applyAlignment="1">
      <alignment horizontal="right" vertical="center"/>
    </xf>
    <xf numFmtId="4" fontId="9" fillId="10" borderId="49" xfId="0" applyNumberFormat="1" applyFont="1" applyFill="1" applyBorder="1" applyAlignment="1">
      <alignment horizontal="center" vertical="center"/>
    </xf>
    <xf numFmtId="3" fontId="9" fillId="10" borderId="49" xfId="0" applyNumberFormat="1" applyFont="1" applyFill="1" applyBorder="1" applyAlignment="1">
      <alignment horizontal="center" vertical="top"/>
    </xf>
    <xf numFmtId="3" fontId="9" fillId="10" borderId="49" xfId="0" applyNumberFormat="1" applyFont="1" applyFill="1" applyBorder="1" applyAlignment="1">
      <alignment horizontal="left" vertical="top"/>
    </xf>
    <xf numFmtId="0" fontId="3" fillId="10" borderId="49" xfId="0" applyFont="1" applyFill="1" applyBorder="1"/>
    <xf numFmtId="4" fontId="9" fillId="10" borderId="49" xfId="0" applyNumberFormat="1" applyFont="1" applyFill="1" applyBorder="1" applyAlignment="1">
      <alignment horizontal="right" vertical="top"/>
    </xf>
    <xf numFmtId="0" fontId="8" fillId="10" borderId="49" xfId="0" applyFont="1" applyFill="1" applyBorder="1" applyAlignment="1">
      <alignment vertical="center"/>
    </xf>
    <xf numFmtId="0" fontId="8" fillId="10" borderId="49" xfId="0" applyFont="1" applyFill="1" applyBorder="1" applyAlignment="1">
      <alignment horizontal="center" vertical="center"/>
    </xf>
    <xf numFmtId="0" fontId="8" fillId="10" borderId="49" xfId="0" applyFont="1" applyFill="1" applyBorder="1" applyAlignment="1">
      <alignment horizontal="right" vertical="center"/>
    </xf>
    <xf numFmtId="0" fontId="8" fillId="10" borderId="49" xfId="0" applyFont="1" applyFill="1" applyBorder="1" applyAlignment="1">
      <alignment horizontal="left" vertical="center"/>
    </xf>
    <xf numFmtId="164" fontId="23" fillId="12" borderId="2" xfId="0" applyNumberFormat="1" applyFont="1" applyFill="1" applyBorder="1" applyAlignment="1">
      <alignment horizontal="right" vertical="center"/>
    </xf>
    <xf numFmtId="0" fontId="9" fillId="5" borderId="23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2" fontId="8" fillId="5" borderId="23" xfId="0" applyNumberFormat="1" applyFont="1" applyFill="1" applyBorder="1" applyAlignment="1">
      <alignment horizontal="right" vertical="center"/>
    </xf>
    <xf numFmtId="0" fontId="8" fillId="5" borderId="23" xfId="0" applyFont="1" applyFill="1" applyBorder="1" applyAlignment="1">
      <alignment horizontal="right" vertical="center"/>
    </xf>
    <xf numFmtId="0" fontId="9" fillId="18" borderId="23" xfId="0" applyFont="1" applyFill="1" applyBorder="1" applyAlignment="1">
      <alignment horizontal="left" vertical="center"/>
    </xf>
    <xf numFmtId="2" fontId="10" fillId="11" borderId="50" xfId="0" applyNumberFormat="1" applyFont="1" applyFill="1" applyBorder="1" applyAlignment="1">
      <alignment vertical="center"/>
    </xf>
    <xf numFmtId="169" fontId="40" fillId="13" borderId="23" xfId="1" applyNumberFormat="1" applyFont="1" applyFill="1" applyBorder="1" applyAlignment="1">
      <alignment horizontal="center" vertical="center"/>
    </xf>
    <xf numFmtId="1" fontId="0" fillId="22" borderId="23" xfId="0" applyNumberFormat="1" applyFill="1" applyBorder="1" applyAlignment="1">
      <alignment horizontal="center" vertical="center"/>
    </xf>
    <xf numFmtId="0" fontId="9" fillId="6" borderId="49" xfId="0" applyFont="1" applyFill="1" applyBorder="1" applyAlignment="1">
      <alignment horizontal="left" vertical="top" wrapText="1"/>
    </xf>
    <xf numFmtId="0" fontId="9" fillId="20" borderId="49" xfId="0" applyFont="1" applyFill="1" applyBorder="1" applyAlignment="1">
      <alignment horizontal="left" vertical="justify"/>
    </xf>
    <xf numFmtId="0" fontId="33" fillId="15" borderId="49" xfId="0" applyFont="1" applyFill="1" applyBorder="1" applyAlignment="1">
      <alignment horizontal="center" vertical="center"/>
    </xf>
    <xf numFmtId="0" fontId="9" fillId="10" borderId="49" xfId="0" applyFont="1" applyFill="1" applyBorder="1" applyAlignment="1">
      <alignment horizontal="left" vertical="center"/>
    </xf>
    <xf numFmtId="0" fontId="8" fillId="10" borderId="49" xfId="0" applyFont="1" applyFill="1" applyBorder="1" applyAlignment="1">
      <alignment horizontal="left" vertical="top" wrapText="1"/>
    </xf>
    <xf numFmtId="0" fontId="9" fillId="10" borderId="49" xfId="0" applyFont="1" applyFill="1" applyBorder="1" applyAlignment="1">
      <alignment horizontal="left" vertical="center" wrapText="1"/>
    </xf>
    <xf numFmtId="0" fontId="9" fillId="18" borderId="49" xfId="0" applyFont="1" applyFill="1" applyBorder="1" applyAlignment="1">
      <alignment horizontal="left" vertical="top" wrapText="1"/>
    </xf>
    <xf numFmtId="0" fontId="10" fillId="0" borderId="49" xfId="0" applyFont="1" applyBorder="1" applyAlignment="1">
      <alignment horizontal="center" vertical="top" wrapText="1"/>
    </xf>
    <xf numFmtId="0" fontId="83" fillId="0" borderId="55" xfId="5" applyFont="1" applyBorder="1" applyAlignment="1">
      <alignment horizontal="left" vertical="top" wrapText="1"/>
    </xf>
    <xf numFmtId="0" fontId="83" fillId="0" borderId="56" xfId="5" applyFont="1" applyBorder="1" applyAlignment="1">
      <alignment horizontal="left" vertical="top" wrapText="1"/>
    </xf>
    <xf numFmtId="0" fontId="83" fillId="0" borderId="55" xfId="5" applyFont="1" applyBorder="1" applyAlignment="1">
      <alignment horizontal="left" vertical="top"/>
    </xf>
    <xf numFmtId="0" fontId="83" fillId="0" borderId="56" xfId="5" applyFont="1" applyBorder="1" applyAlignment="1">
      <alignment horizontal="left" vertical="top"/>
    </xf>
    <xf numFmtId="0" fontId="9" fillId="0" borderId="1" xfId="5" applyFont="1" applyBorder="1" applyAlignment="1">
      <alignment horizontal="left" vertical="top" wrapText="1"/>
    </xf>
    <xf numFmtId="0" fontId="9" fillId="0" borderId="55" xfId="5" applyFont="1" applyBorder="1" applyAlignment="1">
      <alignment horizontal="left" vertical="top" wrapText="1"/>
    </xf>
    <xf numFmtId="49" fontId="9" fillId="46" borderId="57" xfId="6" applyNumberFormat="1" applyFont="1" applyFill="1" applyBorder="1" applyAlignment="1">
      <alignment horizontal="center" vertical="top" wrapText="1"/>
    </xf>
    <xf numFmtId="49" fontId="9" fillId="46" borderId="58" xfId="6" applyNumberFormat="1" applyFont="1" applyFill="1" applyBorder="1" applyAlignment="1">
      <alignment horizontal="center" vertical="top" wrapText="1"/>
    </xf>
    <xf numFmtId="49" fontId="9" fillId="46" borderId="59" xfId="6" applyNumberFormat="1" applyFont="1" applyFill="1" applyBorder="1" applyAlignment="1">
      <alignment horizontal="center" vertical="top" wrapText="1"/>
    </xf>
    <xf numFmtId="0" fontId="9" fillId="0" borderId="1" xfId="6" applyFont="1" applyFill="1" applyBorder="1" applyAlignment="1">
      <alignment horizontal="left" vertical="top" wrapText="1"/>
    </xf>
    <xf numFmtId="0" fontId="9" fillId="0" borderId="55" xfId="6" applyFont="1" applyFill="1" applyBorder="1" applyAlignment="1">
      <alignment horizontal="left" vertical="top" wrapText="1"/>
    </xf>
    <xf numFmtId="49" fontId="9" fillId="47" borderId="61" xfId="6" applyNumberFormat="1" applyFont="1" applyFill="1" applyBorder="1" applyAlignment="1">
      <alignment horizontal="center" vertical="top" wrapText="1"/>
    </xf>
    <xf numFmtId="49" fontId="9" fillId="47" borderId="62" xfId="6" applyNumberFormat="1" applyFont="1" applyFill="1" applyBorder="1" applyAlignment="1">
      <alignment horizontal="center" vertical="top" wrapText="1"/>
    </xf>
    <xf numFmtId="49" fontId="9" fillId="47" borderId="63" xfId="6" applyNumberFormat="1" applyFont="1" applyFill="1" applyBorder="1" applyAlignment="1">
      <alignment horizontal="center" vertical="top" wrapText="1"/>
    </xf>
    <xf numFmtId="0" fontId="9" fillId="0" borderId="56" xfId="5" applyFont="1" applyBorder="1" applyAlignment="1">
      <alignment horizontal="left" vertical="top" wrapText="1"/>
    </xf>
    <xf numFmtId="0" fontId="9" fillId="0" borderId="55" xfId="6" applyFont="1" applyBorder="1" applyAlignment="1">
      <alignment horizontal="left" vertical="top" wrapText="1"/>
    </xf>
    <xf numFmtId="0" fontId="9" fillId="0" borderId="56" xfId="6" applyFont="1" applyBorder="1" applyAlignment="1">
      <alignment horizontal="left" vertical="top" wrapText="1"/>
    </xf>
    <xf numFmtId="0" fontId="9" fillId="0" borderId="52" xfId="6" applyFont="1" applyBorder="1" applyAlignment="1">
      <alignment horizontal="left" vertical="top" wrapText="1"/>
    </xf>
    <xf numFmtId="0" fontId="5" fillId="48" borderId="25" xfId="0" applyFont="1" applyFill="1" applyBorder="1" applyAlignment="1">
      <alignment horizontal="center" vertical="center"/>
    </xf>
    <xf numFmtId="0" fontId="5" fillId="48" borderId="48" xfId="0" applyFont="1" applyFill="1" applyBorder="1" applyAlignment="1">
      <alignment horizontal="center" vertical="center"/>
    </xf>
    <xf numFmtId="0" fontId="5" fillId="48" borderId="26" xfId="0" applyFont="1" applyFill="1" applyBorder="1" applyAlignment="1">
      <alignment horizontal="center" vertical="center"/>
    </xf>
    <xf numFmtId="0" fontId="10" fillId="7" borderId="25" xfId="0" applyFont="1" applyFill="1" applyBorder="1" applyAlignment="1">
      <alignment horizontal="center" vertical="center" wrapText="1"/>
    </xf>
    <xf numFmtId="0" fontId="10" fillId="7" borderId="48" xfId="0" applyFont="1" applyFill="1" applyBorder="1" applyAlignment="1">
      <alignment horizontal="center" vertical="center" wrapText="1"/>
    </xf>
    <xf numFmtId="0" fontId="10" fillId="7" borderId="26" xfId="0" applyFont="1" applyFill="1" applyBorder="1" applyAlignment="1">
      <alignment horizontal="center" vertical="center" wrapText="1"/>
    </xf>
    <xf numFmtId="0" fontId="10" fillId="7" borderId="50" xfId="0" applyFont="1" applyFill="1" applyBorder="1" applyAlignment="1">
      <alignment horizontal="center" vertical="center" wrapText="1"/>
    </xf>
    <xf numFmtId="0" fontId="10" fillId="7" borderId="51" xfId="0" applyFont="1" applyFill="1" applyBorder="1" applyAlignment="1">
      <alignment horizontal="center" vertical="center" wrapText="1"/>
    </xf>
    <xf numFmtId="0" fontId="3" fillId="7" borderId="50" xfId="0" applyFont="1" applyFill="1" applyBorder="1" applyAlignment="1">
      <alignment horizontal="center" vertical="center" wrapText="1"/>
    </xf>
    <xf numFmtId="0" fontId="3" fillId="7" borderId="51" xfId="0" applyFont="1" applyFill="1" applyBorder="1" applyAlignment="1">
      <alignment horizontal="center" vertical="center" wrapText="1"/>
    </xf>
    <xf numFmtId="0" fontId="73" fillId="12" borderId="1" xfId="0" applyFont="1" applyFill="1" applyBorder="1" applyAlignment="1">
      <alignment horizontal="right"/>
    </xf>
    <xf numFmtId="0" fontId="33" fillId="8" borderId="7" xfId="0" applyFont="1" applyFill="1" applyBorder="1" applyAlignment="1">
      <alignment horizontal="center" vertical="center"/>
    </xf>
    <xf numFmtId="0" fontId="33" fillId="8" borderId="15" xfId="0" applyFont="1" applyFill="1" applyBorder="1" applyAlignment="1">
      <alignment horizontal="center" vertical="center"/>
    </xf>
    <xf numFmtId="0" fontId="33" fillId="8" borderId="11" xfId="0" applyFont="1" applyFill="1" applyBorder="1" applyAlignment="1">
      <alignment horizontal="center" vertical="center"/>
    </xf>
    <xf numFmtId="0" fontId="33" fillId="8" borderId="8" xfId="0" applyFont="1" applyFill="1" applyBorder="1" applyAlignment="1">
      <alignment horizontal="center" vertical="center"/>
    </xf>
    <xf numFmtId="0" fontId="33" fillId="8" borderId="9" xfId="0" applyFont="1" applyFill="1" applyBorder="1" applyAlignment="1">
      <alignment horizontal="center" vertical="center"/>
    </xf>
    <xf numFmtId="0" fontId="33" fillId="8" borderId="16" xfId="0" applyFont="1" applyFill="1" applyBorder="1" applyAlignment="1">
      <alignment horizontal="center" vertical="center"/>
    </xf>
    <xf numFmtId="0" fontId="33" fillId="8" borderId="17" xfId="0" applyFont="1" applyFill="1" applyBorder="1" applyAlignment="1">
      <alignment horizontal="center" vertical="center"/>
    </xf>
    <xf numFmtId="0" fontId="33" fillId="8" borderId="18" xfId="0" applyFont="1" applyFill="1" applyBorder="1" applyAlignment="1">
      <alignment horizontal="center" vertical="center"/>
    </xf>
    <xf numFmtId="0" fontId="33" fillId="8" borderId="20" xfId="0" applyFont="1" applyFill="1" applyBorder="1" applyAlignment="1">
      <alignment horizontal="center" vertical="center"/>
    </xf>
    <xf numFmtId="0" fontId="22" fillId="8" borderId="17" xfId="0" applyFont="1" applyFill="1" applyBorder="1" applyAlignment="1">
      <alignment horizontal="right"/>
    </xf>
    <xf numFmtId="0" fontId="22" fillId="8" borderId="20" xfId="0" applyFont="1" applyFill="1" applyBorder="1" applyAlignment="1">
      <alignment horizontal="right"/>
    </xf>
    <xf numFmtId="2" fontId="74" fillId="12" borderId="2" xfId="0" applyNumberFormat="1" applyFont="1" applyFill="1" applyBorder="1" applyAlignment="1">
      <alignment horizontal="right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2" fontId="23" fillId="4" borderId="13" xfId="0" applyNumberFormat="1" applyFont="1" applyFill="1" applyBorder="1" applyAlignment="1">
      <alignment horizontal="right" vertical="center"/>
    </xf>
    <xf numFmtId="0" fontId="22" fillId="8" borderId="44" xfId="0" applyFont="1" applyFill="1" applyBorder="1" applyAlignment="1">
      <alignment horizontal="right" vertical="center" wrapText="1"/>
    </xf>
    <xf numFmtId="0" fontId="22" fillId="8" borderId="45" xfId="0" applyFont="1" applyFill="1" applyBorder="1" applyAlignment="1">
      <alignment horizontal="right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36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32" fillId="13" borderId="41" xfId="0" applyFont="1" applyFill="1" applyBorder="1" applyAlignment="1">
      <alignment horizontal="left" vertical="center"/>
    </xf>
    <xf numFmtId="0" fontId="32" fillId="13" borderId="42" xfId="0" applyFont="1" applyFill="1" applyBorder="1" applyAlignment="1">
      <alignment horizontal="left" vertical="center"/>
    </xf>
    <xf numFmtId="0" fontId="32" fillId="13" borderId="43" xfId="0" applyFont="1" applyFill="1" applyBorder="1" applyAlignment="1">
      <alignment horizontal="left" vertical="center"/>
    </xf>
    <xf numFmtId="0" fontId="32" fillId="13" borderId="39" xfId="0" applyFont="1" applyFill="1" applyBorder="1" applyAlignment="1">
      <alignment horizontal="left" vertical="center" wrapText="1"/>
    </xf>
    <xf numFmtId="0" fontId="32" fillId="13" borderId="40" xfId="0" applyFont="1" applyFill="1" applyBorder="1" applyAlignment="1">
      <alignment horizontal="left" vertical="center" wrapText="1"/>
    </xf>
    <xf numFmtId="0" fontId="33" fillId="8" borderId="36" xfId="0" applyFont="1" applyFill="1" applyBorder="1" applyAlignment="1">
      <alignment horizontal="center" vertical="center"/>
    </xf>
    <xf numFmtId="0" fontId="33" fillId="8" borderId="0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/>
    </xf>
    <xf numFmtId="0" fontId="10" fillId="6" borderId="7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33" fillId="16" borderId="0" xfId="0" applyFont="1" applyFill="1" applyBorder="1" applyAlignment="1">
      <alignment horizontal="center" vertical="center"/>
    </xf>
    <xf numFmtId="0" fontId="25" fillId="13" borderId="23" xfId="0" applyFont="1" applyFill="1" applyBorder="1" applyAlignment="1">
      <alignment horizontal="center" vertical="center" wrapText="1"/>
    </xf>
    <xf numFmtId="0" fontId="22" fillId="5" borderId="23" xfId="0" applyFont="1" applyFill="1" applyBorder="1" applyAlignment="1">
      <alignment horizontal="center" vertical="center"/>
    </xf>
    <xf numFmtId="0" fontId="22" fillId="17" borderId="23" xfId="0" applyFont="1" applyFill="1" applyBorder="1" applyAlignment="1">
      <alignment horizontal="center" vertical="center"/>
    </xf>
    <xf numFmtId="0" fontId="25" fillId="5" borderId="23" xfId="0" applyFont="1" applyFill="1" applyBorder="1" applyAlignment="1">
      <alignment horizontal="center" vertical="center" wrapText="1"/>
    </xf>
    <xf numFmtId="0" fontId="25" fillId="17" borderId="23" xfId="0" applyFont="1" applyFill="1" applyBorder="1" applyAlignment="1">
      <alignment horizontal="center" vertical="center" wrapText="1"/>
    </xf>
    <xf numFmtId="0" fontId="9" fillId="18" borderId="23" xfId="0" applyFont="1" applyFill="1" applyBorder="1" applyAlignment="1">
      <alignment horizontal="left" vertical="center" wrapText="1"/>
    </xf>
    <xf numFmtId="0" fontId="40" fillId="5" borderId="23" xfId="0" applyFont="1" applyFill="1" applyBorder="1" applyAlignment="1">
      <alignment horizontal="center" vertical="center" wrapText="1"/>
    </xf>
    <xf numFmtId="0" fontId="25" fillId="5" borderId="23" xfId="0" applyFont="1" applyFill="1" applyBorder="1" applyAlignment="1">
      <alignment horizontal="center" vertical="center"/>
    </xf>
    <xf numFmtId="0" fontId="42" fillId="21" borderId="23" xfId="0" applyFont="1" applyFill="1" applyBorder="1" applyAlignment="1">
      <alignment horizontal="left" vertical="center"/>
    </xf>
    <xf numFmtId="0" fontId="28" fillId="19" borderId="23" xfId="9" applyFont="1" applyFill="1" applyBorder="1" applyAlignment="1">
      <alignment horizontal="center" vertical="center"/>
    </xf>
    <xf numFmtId="0" fontId="28" fillId="6" borderId="23" xfId="9" applyFont="1" applyFill="1" applyBorder="1" applyAlignment="1">
      <alignment horizontal="left" vertical="center" wrapText="1"/>
    </xf>
    <xf numFmtId="0" fontId="10" fillId="18" borderId="23" xfId="0" applyFont="1" applyFill="1" applyBorder="1" applyAlignment="1">
      <alignment horizontal="left" vertical="center" wrapText="1"/>
    </xf>
    <xf numFmtId="0" fontId="9" fillId="18" borderId="25" xfId="0" applyFont="1" applyFill="1" applyBorder="1" applyAlignment="1">
      <alignment horizontal="center" vertical="center"/>
    </xf>
    <xf numFmtId="0" fontId="9" fillId="18" borderId="26" xfId="0" applyFont="1" applyFill="1" applyBorder="1" applyAlignment="1">
      <alignment horizontal="center" vertical="center"/>
    </xf>
    <xf numFmtId="0" fontId="28" fillId="10" borderId="23" xfId="9" applyFont="1" applyFill="1" applyBorder="1" applyAlignment="1">
      <alignment horizontal="left" vertical="center" wrapText="1"/>
    </xf>
    <xf numFmtId="0" fontId="9" fillId="5" borderId="25" xfId="0" applyFont="1" applyFill="1" applyBorder="1" applyAlignment="1">
      <alignment horizontal="left" vertical="center" wrapText="1"/>
    </xf>
    <xf numFmtId="0" fontId="9" fillId="5" borderId="26" xfId="0" applyFont="1" applyFill="1" applyBorder="1" applyAlignment="1">
      <alignment horizontal="left" vertical="center" wrapText="1"/>
    </xf>
    <xf numFmtId="0" fontId="28" fillId="6" borderId="23" xfId="9" applyFont="1" applyFill="1" applyBorder="1" applyAlignment="1">
      <alignment horizontal="left" vertical="center"/>
    </xf>
    <xf numFmtId="0" fontId="52" fillId="0" borderId="23" xfId="0" applyFont="1" applyFill="1" applyBorder="1" applyAlignment="1">
      <alignment horizontal="left" vertical="center" wrapText="1"/>
    </xf>
    <xf numFmtId="0" fontId="52" fillId="0" borderId="25" xfId="0" applyFont="1" applyFill="1" applyBorder="1" applyAlignment="1">
      <alignment horizontal="left" vertical="center" wrapText="1"/>
    </xf>
    <xf numFmtId="0" fontId="52" fillId="0" borderId="26" xfId="0" applyFont="1" applyFill="1" applyBorder="1" applyAlignment="1">
      <alignment horizontal="left" vertical="center" wrapText="1"/>
    </xf>
    <xf numFmtId="0" fontId="72" fillId="0" borderId="0" xfId="0" applyFont="1" applyFill="1" applyAlignment="1">
      <alignment horizontal="center" vertical="center" wrapText="1"/>
    </xf>
  </cellXfs>
  <cellStyles count="53">
    <cellStyle name="20% - Accent1 2" xfId="11"/>
    <cellStyle name="20% - Accent2 2" xfId="12"/>
    <cellStyle name="20% - Accent3 2" xfId="13"/>
    <cellStyle name="20% - Accent4 2" xfId="14"/>
    <cellStyle name="20% - Accent5 2" xfId="15"/>
    <cellStyle name="20% - Accent6 2" xfId="16"/>
    <cellStyle name="40% - Accent1 2" xfId="17"/>
    <cellStyle name="40% - Accent2 2" xfId="18"/>
    <cellStyle name="40% - Accent3 2" xfId="19"/>
    <cellStyle name="40% - Accent4 2" xfId="20"/>
    <cellStyle name="40% - Accent5 2" xfId="21"/>
    <cellStyle name="40% - Accent6 2" xfId="22"/>
    <cellStyle name="60% - Accent1 2" xfId="23"/>
    <cellStyle name="60% - Accent2 2" xfId="24"/>
    <cellStyle name="60% - Accent3 2" xfId="25"/>
    <cellStyle name="60% - Accent4 2" xfId="26"/>
    <cellStyle name="60% - Accent5 2" xfId="27"/>
    <cellStyle name="60% - Accent6 2" xfId="28"/>
    <cellStyle name="Accent1 2" xfId="29"/>
    <cellStyle name="Accent2 2" xfId="30"/>
    <cellStyle name="Accent3 2" xfId="31"/>
    <cellStyle name="Accent4 2" xfId="32"/>
    <cellStyle name="Accent5 2" xfId="33"/>
    <cellStyle name="Accent6 2" xfId="34"/>
    <cellStyle name="Bad 2" xfId="35"/>
    <cellStyle name="Calculation 2" xfId="36"/>
    <cellStyle name="Check Cell 2" xfId="37"/>
    <cellStyle name="Comma" xfId="1" builtinId="3"/>
    <cellStyle name="Comma 2" xfId="2"/>
    <cellStyle name="Comma 3" xfId="3"/>
    <cellStyle name="Comma 4" xfId="52"/>
    <cellStyle name="Explanatory Text 2" xfId="38"/>
    <cellStyle name="Good 2" xfId="39"/>
    <cellStyle name="Heading 1 2" xfId="40"/>
    <cellStyle name="Heading 2 2" xfId="41"/>
    <cellStyle name="Heading 3 2" xfId="42"/>
    <cellStyle name="Heading 4 2" xfId="43"/>
    <cellStyle name="Hyperlink" xfId="4" builtinId="8"/>
    <cellStyle name="Input 2" xfId="44"/>
    <cellStyle name="Linked Cell 2" xfId="45"/>
    <cellStyle name="Neutral 2" xfId="46"/>
    <cellStyle name="Normal" xfId="0" builtinId="0"/>
    <cellStyle name="Normal 2" xfId="5"/>
    <cellStyle name="Normal 3" xfId="6"/>
    <cellStyle name="Normal 4" xfId="7"/>
    <cellStyle name="Normal 5" xfId="8"/>
    <cellStyle name="Normal 6" xfId="10"/>
    <cellStyle name="Normal 7" xfId="9"/>
    <cellStyle name="Note 2" xfId="47"/>
    <cellStyle name="Output 2" xfId="48"/>
    <cellStyle name="Title 2" xfId="49"/>
    <cellStyle name="Total 2" xfId="50"/>
    <cellStyle name="Warning Text 2" xfId="51"/>
  </cellStyles>
  <dxfs count="0"/>
  <tableStyles count="0" defaultTableStyle="TableStyleMedium9" defaultPivotStyle="PivotStyleLight16"/>
  <colors>
    <mruColors>
      <color rgb="FF0033CC"/>
      <color rgb="FF0066FF"/>
      <color rgb="FFFFFF99"/>
      <color rgb="FF0000FF"/>
      <color rgb="FF6600FF"/>
      <color rgb="FFC75F09"/>
      <color rgb="FFFFCC66"/>
      <color rgb="FFFFCC00"/>
      <color rgb="FFFF9900"/>
      <color rgb="FFFF99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/>
            </a:pPr>
            <a:r>
              <a:rPr lang="en-US" sz="1400">
                <a:solidFill>
                  <a:srgbClr val="0000FF"/>
                </a:solidFill>
              </a:rPr>
              <a:t>Nos. of Event Planned Vs Achiement (2012-13)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'Graph 12-13'!$U$3</c:f>
              <c:strCache>
                <c:ptCount val="1"/>
                <c:pt idx="0">
                  <c:v>Events planned 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txPr>
              <a:bodyPr rot="-5400000" vert="horz"/>
              <a:lstStyle/>
              <a:p>
                <a:pPr>
                  <a:defRPr sz="700"/>
                </a:pPr>
                <a:endParaRPr lang="en-US"/>
              </a:p>
            </c:txPr>
            <c:showVal val="1"/>
          </c:dLbls>
          <c:cat>
            <c:strRef>
              <c:f>'Graph 12-13'!$T$4:$T$20</c:f>
              <c:strCache>
                <c:ptCount val="17"/>
                <c:pt idx="0">
                  <c:v>TU</c:v>
                </c:pt>
                <c:pt idx="1">
                  <c:v>CDSP-IV</c:v>
                </c:pt>
                <c:pt idx="2">
                  <c:v>CRDP</c:v>
                </c:pt>
                <c:pt idx="3">
                  <c:v>ECRP</c:v>
                </c:pt>
                <c:pt idx="4">
                  <c:v>GRDIRDP</c:v>
                </c:pt>
                <c:pt idx="5">
                  <c:v>MIDPCR</c:v>
                </c:pt>
                <c:pt idx="6">
                  <c:v>PSSWRSP</c:v>
                </c:pt>
                <c:pt idx="7">
                  <c:v>RERMP</c:v>
                </c:pt>
                <c:pt idx="8">
                  <c:v>RIIP-II</c:v>
                </c:pt>
                <c:pt idx="9">
                  <c:v>RRMAIDP</c:v>
                </c:pt>
                <c:pt idx="10">
                  <c:v>Rubber Dam </c:v>
                </c:pt>
                <c:pt idx="11">
                  <c:v>SRIIP</c:v>
                </c:pt>
                <c:pt idx="12">
                  <c:v>SWBRDP</c:v>
                </c:pt>
                <c:pt idx="13">
                  <c:v>SSWRDP</c:v>
                </c:pt>
                <c:pt idx="14">
                  <c:v>SCBRMP</c:v>
                </c:pt>
                <c:pt idx="15">
                  <c:v>UGIIP-II</c:v>
                </c:pt>
                <c:pt idx="16">
                  <c:v>UPPRP</c:v>
                </c:pt>
              </c:strCache>
            </c:strRef>
          </c:cat>
          <c:val>
            <c:numRef>
              <c:f>'Graph 12-13'!$U$4:$U$20</c:f>
              <c:numCache>
                <c:formatCode>General</c:formatCode>
                <c:ptCount val="17"/>
                <c:pt idx="0">
                  <c:v>74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149</c:v>
                </c:pt>
                <c:pt idx="5">
                  <c:v>448</c:v>
                </c:pt>
                <c:pt idx="6">
                  <c:v>662</c:v>
                </c:pt>
                <c:pt idx="7">
                  <c:v>36</c:v>
                </c:pt>
                <c:pt idx="8">
                  <c:v>95</c:v>
                </c:pt>
                <c:pt idx="9">
                  <c:v>408</c:v>
                </c:pt>
                <c:pt idx="10">
                  <c:v>6</c:v>
                </c:pt>
                <c:pt idx="11">
                  <c:v>64</c:v>
                </c:pt>
                <c:pt idx="12">
                  <c:v>515</c:v>
                </c:pt>
                <c:pt idx="13">
                  <c:v>638</c:v>
                </c:pt>
                <c:pt idx="14">
                  <c:v>295</c:v>
                </c:pt>
                <c:pt idx="15">
                  <c:v>71</c:v>
                </c:pt>
                <c:pt idx="16">
                  <c:v>880</c:v>
                </c:pt>
              </c:numCache>
            </c:numRef>
          </c:val>
        </c:ser>
        <c:ser>
          <c:idx val="1"/>
          <c:order val="1"/>
          <c:tx>
            <c:strRef>
              <c:f>'Graph 12-13'!$V$3</c:f>
              <c:strCache>
                <c:ptCount val="1"/>
                <c:pt idx="0">
                  <c:v>Events achieved</c:v>
                </c:pt>
              </c:strCache>
            </c:strRef>
          </c:tx>
          <c:dLbls>
            <c:dLbl>
              <c:idx val="14"/>
              <c:layout>
                <c:manualLayout>
                  <c:x val="8.4269655465836566E-3"/>
                  <c:y val="0"/>
                </c:manualLayout>
              </c:layout>
              <c:showVal val="1"/>
              <c:separator> </c:separator>
            </c:dLbl>
            <c:dLbl>
              <c:idx val="16"/>
              <c:layout>
                <c:manualLayout>
                  <c:x val="5.0561793279501914E-3"/>
                  <c:y val="5.9059700446892781E-17"/>
                </c:manualLayout>
              </c:layout>
              <c:showVal val="1"/>
              <c:separator> </c:separator>
            </c:dLbl>
            <c:txPr>
              <a:bodyPr rot="-5400000" vert="horz"/>
              <a:lstStyle/>
              <a:p>
                <a:pPr>
                  <a:defRPr sz="700"/>
                </a:pPr>
                <a:endParaRPr lang="en-US"/>
              </a:p>
            </c:txPr>
            <c:showVal val="1"/>
            <c:separator> </c:separator>
          </c:dLbls>
          <c:cat>
            <c:strRef>
              <c:f>'Graph 12-13'!$T$4:$T$20</c:f>
              <c:strCache>
                <c:ptCount val="17"/>
                <c:pt idx="0">
                  <c:v>TU</c:v>
                </c:pt>
                <c:pt idx="1">
                  <c:v>CDSP-IV</c:v>
                </c:pt>
                <c:pt idx="2">
                  <c:v>CRDP</c:v>
                </c:pt>
                <c:pt idx="3">
                  <c:v>ECRP</c:v>
                </c:pt>
                <c:pt idx="4">
                  <c:v>GRDIRDP</c:v>
                </c:pt>
                <c:pt idx="5">
                  <c:v>MIDPCR</c:v>
                </c:pt>
                <c:pt idx="6">
                  <c:v>PSSWRSP</c:v>
                </c:pt>
                <c:pt idx="7">
                  <c:v>RERMP</c:v>
                </c:pt>
                <c:pt idx="8">
                  <c:v>RIIP-II</c:v>
                </c:pt>
                <c:pt idx="9">
                  <c:v>RRMAIDP</c:v>
                </c:pt>
                <c:pt idx="10">
                  <c:v>Rubber Dam </c:v>
                </c:pt>
                <c:pt idx="11">
                  <c:v>SRIIP</c:v>
                </c:pt>
                <c:pt idx="12">
                  <c:v>SWBRDP</c:v>
                </c:pt>
                <c:pt idx="13">
                  <c:v>SSWRDP</c:v>
                </c:pt>
                <c:pt idx="14">
                  <c:v>SCBRMP</c:v>
                </c:pt>
                <c:pt idx="15">
                  <c:v>UGIIP-II</c:v>
                </c:pt>
                <c:pt idx="16">
                  <c:v>UPPRP</c:v>
                </c:pt>
              </c:strCache>
            </c:strRef>
          </c:cat>
          <c:val>
            <c:numRef>
              <c:f>'Graph 12-13'!$V$4:$V$20</c:f>
              <c:numCache>
                <c:formatCode>General</c:formatCode>
                <c:ptCount val="17"/>
                <c:pt idx="0">
                  <c:v>81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106</c:v>
                </c:pt>
                <c:pt idx="5">
                  <c:v>437</c:v>
                </c:pt>
                <c:pt idx="6">
                  <c:v>805</c:v>
                </c:pt>
                <c:pt idx="7">
                  <c:v>36</c:v>
                </c:pt>
                <c:pt idx="8">
                  <c:v>95</c:v>
                </c:pt>
                <c:pt idx="9">
                  <c:v>424</c:v>
                </c:pt>
                <c:pt idx="10">
                  <c:v>6</c:v>
                </c:pt>
                <c:pt idx="11">
                  <c:v>64</c:v>
                </c:pt>
                <c:pt idx="12">
                  <c:v>380</c:v>
                </c:pt>
                <c:pt idx="13">
                  <c:v>537</c:v>
                </c:pt>
                <c:pt idx="14">
                  <c:v>113</c:v>
                </c:pt>
                <c:pt idx="15">
                  <c:v>71</c:v>
                </c:pt>
                <c:pt idx="16">
                  <c:v>642</c:v>
                </c:pt>
              </c:numCache>
            </c:numRef>
          </c:val>
        </c:ser>
        <c:gapWidth val="75"/>
        <c:axId val="95371648"/>
        <c:axId val="95373184"/>
      </c:barChart>
      <c:catAx>
        <c:axId val="95371648"/>
        <c:scaling>
          <c:orientation val="minMax"/>
        </c:scaling>
        <c:axPos val="b"/>
        <c:majorGridlines/>
        <c:majorTickMark val="none"/>
        <c:tickLblPos val="nextTo"/>
        <c:txPr>
          <a:bodyPr/>
          <a:lstStyle/>
          <a:p>
            <a:pPr>
              <a:defRPr sz="800" baseline="0">
                <a:solidFill>
                  <a:sysClr val="windowText" lastClr="000000"/>
                </a:solidFill>
              </a:defRPr>
            </a:pPr>
            <a:endParaRPr lang="en-US"/>
          </a:p>
        </c:txPr>
        <c:crossAx val="95373184"/>
        <c:crosses val="autoZero"/>
        <c:auto val="1"/>
        <c:lblAlgn val="ctr"/>
        <c:lblOffset val="100"/>
      </c:catAx>
      <c:valAx>
        <c:axId val="9537318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0000FF"/>
                    </a:solidFill>
                  </a:defRPr>
                </a:pPr>
                <a:r>
                  <a:rPr lang="en-US">
                    <a:solidFill>
                      <a:srgbClr val="0000FF"/>
                    </a:solidFill>
                  </a:rPr>
                  <a:t>Nos. of Events</a:t>
                </a:r>
              </a:p>
            </c:rich>
          </c:tx>
        </c:title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95371648"/>
        <c:crosses val="autoZero"/>
        <c:crossBetween val="between"/>
        <c:majorUnit val="200"/>
      </c:valAx>
    </c:plotArea>
    <c:legend>
      <c:legendPos val="t"/>
    </c:legend>
    <c:plotVisOnly val="1"/>
  </c:chart>
  <c:printSettings>
    <c:headerFooter/>
    <c:pageMargins b="0.75000000000001121" l="0.70000000000000095" r="0.70000000000000095" t="0.75000000000001121" header="0.30000000000000032" footer="0.3000000000000003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Nos. of Participants Planned  Vs Achievement (2012-13)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'Graph 12-13'!$W$3</c:f>
              <c:strCache>
                <c:ptCount val="1"/>
                <c:pt idx="0">
                  <c:v>Participant planned 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700"/>
                </a:pPr>
                <a:endParaRPr lang="en-US"/>
              </a:p>
            </c:txPr>
            <c:showVal val="1"/>
          </c:dLbls>
          <c:cat>
            <c:strRef>
              <c:f>'Graph 12-13'!$T$4:$T$20</c:f>
              <c:strCache>
                <c:ptCount val="17"/>
                <c:pt idx="0">
                  <c:v>TU</c:v>
                </c:pt>
                <c:pt idx="1">
                  <c:v>CDSP-IV</c:v>
                </c:pt>
                <c:pt idx="2">
                  <c:v>CRDP</c:v>
                </c:pt>
                <c:pt idx="3">
                  <c:v>ECRP</c:v>
                </c:pt>
                <c:pt idx="4">
                  <c:v>GRDIRDP</c:v>
                </c:pt>
                <c:pt idx="5">
                  <c:v>MIDPCR</c:v>
                </c:pt>
                <c:pt idx="6">
                  <c:v>PSSWRSP</c:v>
                </c:pt>
                <c:pt idx="7">
                  <c:v>RERMP</c:v>
                </c:pt>
                <c:pt idx="8">
                  <c:v>RIIP-II</c:v>
                </c:pt>
                <c:pt idx="9">
                  <c:v>RRMAIDP</c:v>
                </c:pt>
                <c:pt idx="10">
                  <c:v>Rubber Dam </c:v>
                </c:pt>
                <c:pt idx="11">
                  <c:v>SRIIP</c:v>
                </c:pt>
                <c:pt idx="12">
                  <c:v>SWBRDP</c:v>
                </c:pt>
                <c:pt idx="13">
                  <c:v>SSWRDP</c:v>
                </c:pt>
                <c:pt idx="14">
                  <c:v>SCBRMP</c:v>
                </c:pt>
                <c:pt idx="15">
                  <c:v>UGIIP-II</c:v>
                </c:pt>
                <c:pt idx="16">
                  <c:v>UPPRP</c:v>
                </c:pt>
              </c:strCache>
            </c:strRef>
          </c:cat>
          <c:val>
            <c:numRef>
              <c:f>'Graph 12-13'!$W$4:$W$20</c:f>
              <c:numCache>
                <c:formatCode>General</c:formatCode>
                <c:ptCount val="17"/>
                <c:pt idx="0">
                  <c:v>1760</c:v>
                </c:pt>
                <c:pt idx="1">
                  <c:v>120</c:v>
                </c:pt>
                <c:pt idx="2">
                  <c:v>75</c:v>
                </c:pt>
                <c:pt idx="3">
                  <c:v>189</c:v>
                </c:pt>
                <c:pt idx="4">
                  <c:v>3324</c:v>
                </c:pt>
                <c:pt idx="5">
                  <c:v>1155</c:v>
                </c:pt>
                <c:pt idx="6">
                  <c:v>2139</c:v>
                </c:pt>
                <c:pt idx="7">
                  <c:v>1400</c:v>
                </c:pt>
                <c:pt idx="8">
                  <c:v>2852</c:v>
                </c:pt>
                <c:pt idx="9">
                  <c:v>12208</c:v>
                </c:pt>
                <c:pt idx="10">
                  <c:v>102</c:v>
                </c:pt>
                <c:pt idx="11">
                  <c:v>3173</c:v>
                </c:pt>
                <c:pt idx="12">
                  <c:v>7221</c:v>
                </c:pt>
                <c:pt idx="13">
                  <c:v>1068</c:v>
                </c:pt>
                <c:pt idx="14">
                  <c:v>10092</c:v>
                </c:pt>
                <c:pt idx="15">
                  <c:v>696</c:v>
                </c:pt>
                <c:pt idx="16">
                  <c:v>19580</c:v>
                </c:pt>
              </c:numCache>
            </c:numRef>
          </c:val>
        </c:ser>
        <c:ser>
          <c:idx val="1"/>
          <c:order val="1"/>
          <c:tx>
            <c:strRef>
              <c:f>'Graph 12-13'!$X$3</c:f>
              <c:strCache>
                <c:ptCount val="1"/>
                <c:pt idx="0">
                  <c:v>Participant achieved 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700"/>
                </a:pPr>
                <a:endParaRPr lang="en-US"/>
              </a:p>
            </c:txPr>
            <c:showVal val="1"/>
          </c:dLbls>
          <c:cat>
            <c:strRef>
              <c:f>'Graph 12-13'!$T$4:$T$20</c:f>
              <c:strCache>
                <c:ptCount val="17"/>
                <c:pt idx="0">
                  <c:v>TU</c:v>
                </c:pt>
                <c:pt idx="1">
                  <c:v>CDSP-IV</c:v>
                </c:pt>
                <c:pt idx="2">
                  <c:v>CRDP</c:v>
                </c:pt>
                <c:pt idx="3">
                  <c:v>ECRP</c:v>
                </c:pt>
                <c:pt idx="4">
                  <c:v>GRDIRDP</c:v>
                </c:pt>
                <c:pt idx="5">
                  <c:v>MIDPCR</c:v>
                </c:pt>
                <c:pt idx="6">
                  <c:v>PSSWRSP</c:v>
                </c:pt>
                <c:pt idx="7">
                  <c:v>RERMP</c:v>
                </c:pt>
                <c:pt idx="8">
                  <c:v>RIIP-II</c:v>
                </c:pt>
                <c:pt idx="9">
                  <c:v>RRMAIDP</c:v>
                </c:pt>
                <c:pt idx="10">
                  <c:v>Rubber Dam </c:v>
                </c:pt>
                <c:pt idx="11">
                  <c:v>SRIIP</c:v>
                </c:pt>
                <c:pt idx="12">
                  <c:v>SWBRDP</c:v>
                </c:pt>
                <c:pt idx="13">
                  <c:v>SSWRDP</c:v>
                </c:pt>
                <c:pt idx="14">
                  <c:v>SCBRMP</c:v>
                </c:pt>
                <c:pt idx="15">
                  <c:v>UGIIP-II</c:v>
                </c:pt>
                <c:pt idx="16">
                  <c:v>UPPRP</c:v>
                </c:pt>
              </c:strCache>
            </c:strRef>
          </c:cat>
          <c:val>
            <c:numRef>
              <c:f>'Graph 12-13'!$X$4:$X$20</c:f>
              <c:numCache>
                <c:formatCode>General</c:formatCode>
                <c:ptCount val="17"/>
                <c:pt idx="0">
                  <c:v>2054</c:v>
                </c:pt>
                <c:pt idx="1">
                  <c:v>115</c:v>
                </c:pt>
                <c:pt idx="2">
                  <c:v>136</c:v>
                </c:pt>
                <c:pt idx="3">
                  <c:v>310</c:v>
                </c:pt>
                <c:pt idx="4">
                  <c:v>2272</c:v>
                </c:pt>
                <c:pt idx="5">
                  <c:v>9380</c:v>
                </c:pt>
                <c:pt idx="6">
                  <c:v>31987</c:v>
                </c:pt>
                <c:pt idx="7">
                  <c:v>1400</c:v>
                </c:pt>
                <c:pt idx="8">
                  <c:v>2596</c:v>
                </c:pt>
                <c:pt idx="9">
                  <c:v>10412</c:v>
                </c:pt>
                <c:pt idx="10">
                  <c:v>102</c:v>
                </c:pt>
                <c:pt idx="11">
                  <c:v>3083</c:v>
                </c:pt>
                <c:pt idx="12">
                  <c:v>259</c:v>
                </c:pt>
                <c:pt idx="13">
                  <c:v>18253</c:v>
                </c:pt>
                <c:pt idx="14">
                  <c:v>4523</c:v>
                </c:pt>
                <c:pt idx="15">
                  <c:v>847</c:v>
                </c:pt>
                <c:pt idx="16">
                  <c:v>14430</c:v>
                </c:pt>
              </c:numCache>
            </c:numRef>
          </c:val>
        </c:ser>
        <c:dLbls>
          <c:showVal val="1"/>
        </c:dLbls>
        <c:axId val="95432064"/>
        <c:axId val="95769728"/>
      </c:barChart>
      <c:catAx>
        <c:axId val="95432064"/>
        <c:scaling>
          <c:orientation val="minMax"/>
        </c:scaling>
        <c:axPos val="b"/>
        <c:majorGridlines/>
        <c:majorTickMark val="none"/>
        <c:tickLblPos val="nextTo"/>
        <c:crossAx val="95769728"/>
        <c:crosses val="autoZero"/>
        <c:auto val="1"/>
        <c:lblAlgn val="ctr"/>
        <c:lblOffset val="100"/>
      </c:catAx>
      <c:valAx>
        <c:axId val="9576972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0000FF"/>
                    </a:solidFill>
                  </a:defRPr>
                </a:pPr>
                <a:r>
                  <a:rPr lang="en-US">
                    <a:solidFill>
                      <a:srgbClr val="0000FF"/>
                    </a:solidFill>
                  </a:rPr>
                  <a:t>Nos. of Participants</a:t>
                </a:r>
              </a:p>
            </c:rich>
          </c:tx>
          <c:layout>
            <c:manualLayout>
              <c:xMode val="edge"/>
              <c:yMode val="edge"/>
              <c:x val="2.2973688508943484E-2"/>
              <c:y val="0.31016968811923068"/>
            </c:manualLayout>
          </c:layout>
        </c:title>
        <c:numFmt formatCode="General" sourceLinked="1"/>
        <c:tickLblPos val="nextTo"/>
        <c:crossAx val="95432064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8" l="1" r="1" t="0.8" header="0.4" footer="0.4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0"/>
  <c:chart>
    <c:title>
      <c:tx>
        <c:rich>
          <a:bodyPr/>
          <a:lstStyle/>
          <a:p>
            <a:pPr>
              <a:defRPr>
                <a:solidFill>
                  <a:srgbClr val="0000FF"/>
                </a:solidFill>
              </a:defRPr>
            </a:pPr>
            <a:r>
              <a:rPr lang="en-US" sz="1400">
                <a:solidFill>
                  <a:srgbClr val="0000FF"/>
                </a:solidFill>
              </a:rPr>
              <a:t>Trainee-Days Planned vs. Achievement, (2012-13)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'Graph 12-13'!$Y$3</c:f>
              <c:strCache>
                <c:ptCount val="1"/>
                <c:pt idx="0">
                  <c:v>Trainee-Days planned </c:v>
                </c:pt>
              </c:strCache>
            </c:strRef>
          </c:tx>
          <c:spPr>
            <a:solidFill>
              <a:srgbClr val="6600FF"/>
            </a:solidFill>
          </c:spPr>
          <c:dLbls>
            <c:txPr>
              <a:bodyPr rot="-5400000" vert="horz"/>
              <a:lstStyle/>
              <a:p>
                <a:pPr>
                  <a:defRPr sz="700"/>
                </a:pPr>
                <a:endParaRPr lang="en-US"/>
              </a:p>
            </c:txPr>
            <c:showVal val="1"/>
          </c:dLbls>
          <c:cat>
            <c:strRef>
              <c:f>'Graph 12-13'!$T$4:$T$20</c:f>
              <c:strCache>
                <c:ptCount val="17"/>
                <c:pt idx="0">
                  <c:v>TU</c:v>
                </c:pt>
                <c:pt idx="1">
                  <c:v>CDSP-IV</c:v>
                </c:pt>
                <c:pt idx="2">
                  <c:v>CRDP</c:v>
                </c:pt>
                <c:pt idx="3">
                  <c:v>ECRP</c:v>
                </c:pt>
                <c:pt idx="4">
                  <c:v>GRDIRDP</c:v>
                </c:pt>
                <c:pt idx="5">
                  <c:v>MIDPCR</c:v>
                </c:pt>
                <c:pt idx="6">
                  <c:v>PSSWRSP</c:v>
                </c:pt>
                <c:pt idx="7">
                  <c:v>RERMP</c:v>
                </c:pt>
                <c:pt idx="8">
                  <c:v>RIIP-II</c:v>
                </c:pt>
                <c:pt idx="9">
                  <c:v>RRMAIDP</c:v>
                </c:pt>
                <c:pt idx="10">
                  <c:v>Rubber Dam </c:v>
                </c:pt>
                <c:pt idx="11">
                  <c:v>SRIIP</c:v>
                </c:pt>
                <c:pt idx="12">
                  <c:v>SWBRDP</c:v>
                </c:pt>
                <c:pt idx="13">
                  <c:v>SSWRDP</c:v>
                </c:pt>
                <c:pt idx="14">
                  <c:v>SCBRMP</c:v>
                </c:pt>
                <c:pt idx="15">
                  <c:v>UGIIP-II</c:v>
                </c:pt>
                <c:pt idx="16">
                  <c:v>UPPRP</c:v>
                </c:pt>
              </c:strCache>
            </c:strRef>
          </c:cat>
          <c:val>
            <c:numRef>
              <c:f>'Graph 12-13'!$Y$4:$Y$20</c:f>
              <c:numCache>
                <c:formatCode>General</c:formatCode>
                <c:ptCount val="17"/>
                <c:pt idx="0">
                  <c:v>6645</c:v>
                </c:pt>
                <c:pt idx="1">
                  <c:v>600</c:v>
                </c:pt>
                <c:pt idx="2">
                  <c:v>150</c:v>
                </c:pt>
                <c:pt idx="3">
                  <c:v>432</c:v>
                </c:pt>
                <c:pt idx="4">
                  <c:v>52560</c:v>
                </c:pt>
                <c:pt idx="5">
                  <c:v>18630</c:v>
                </c:pt>
                <c:pt idx="6">
                  <c:v>40647</c:v>
                </c:pt>
                <c:pt idx="7">
                  <c:v>1400</c:v>
                </c:pt>
                <c:pt idx="8">
                  <c:v>5904</c:v>
                </c:pt>
                <c:pt idx="9">
                  <c:v>358740</c:v>
                </c:pt>
                <c:pt idx="10">
                  <c:v>306</c:v>
                </c:pt>
                <c:pt idx="11">
                  <c:v>9197</c:v>
                </c:pt>
                <c:pt idx="12">
                  <c:v>21764</c:v>
                </c:pt>
                <c:pt idx="13">
                  <c:v>33015</c:v>
                </c:pt>
                <c:pt idx="14">
                  <c:v>12894</c:v>
                </c:pt>
                <c:pt idx="15">
                  <c:v>3056</c:v>
                </c:pt>
                <c:pt idx="16">
                  <c:v>42195</c:v>
                </c:pt>
              </c:numCache>
            </c:numRef>
          </c:val>
        </c:ser>
        <c:ser>
          <c:idx val="1"/>
          <c:order val="1"/>
          <c:tx>
            <c:strRef>
              <c:f>'Graph 12-13'!$Z$3</c:f>
              <c:strCache>
                <c:ptCount val="1"/>
                <c:pt idx="0">
                  <c:v>Trainee-Days achieved 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700"/>
                </a:pPr>
                <a:endParaRPr lang="en-US"/>
              </a:p>
            </c:txPr>
            <c:showVal val="1"/>
          </c:dLbls>
          <c:cat>
            <c:strRef>
              <c:f>'Graph 12-13'!$T$4:$T$20</c:f>
              <c:strCache>
                <c:ptCount val="17"/>
                <c:pt idx="0">
                  <c:v>TU</c:v>
                </c:pt>
                <c:pt idx="1">
                  <c:v>CDSP-IV</c:v>
                </c:pt>
                <c:pt idx="2">
                  <c:v>CRDP</c:v>
                </c:pt>
                <c:pt idx="3">
                  <c:v>ECRP</c:v>
                </c:pt>
                <c:pt idx="4">
                  <c:v>GRDIRDP</c:v>
                </c:pt>
                <c:pt idx="5">
                  <c:v>MIDPCR</c:v>
                </c:pt>
                <c:pt idx="6">
                  <c:v>PSSWRSP</c:v>
                </c:pt>
                <c:pt idx="7">
                  <c:v>RERMP</c:v>
                </c:pt>
                <c:pt idx="8">
                  <c:v>RIIP-II</c:v>
                </c:pt>
                <c:pt idx="9">
                  <c:v>RRMAIDP</c:v>
                </c:pt>
                <c:pt idx="10">
                  <c:v>Rubber Dam </c:v>
                </c:pt>
                <c:pt idx="11">
                  <c:v>SRIIP</c:v>
                </c:pt>
                <c:pt idx="12">
                  <c:v>SWBRDP</c:v>
                </c:pt>
                <c:pt idx="13">
                  <c:v>SSWRDP</c:v>
                </c:pt>
                <c:pt idx="14">
                  <c:v>SCBRMP</c:v>
                </c:pt>
                <c:pt idx="15">
                  <c:v>UGIIP-II</c:v>
                </c:pt>
                <c:pt idx="16">
                  <c:v>UPPRP</c:v>
                </c:pt>
              </c:strCache>
            </c:strRef>
          </c:cat>
          <c:val>
            <c:numRef>
              <c:f>'Graph 12-13'!$Z$4:$Z$20</c:f>
              <c:numCache>
                <c:formatCode>General</c:formatCode>
                <c:ptCount val="17"/>
                <c:pt idx="0">
                  <c:v>7372</c:v>
                </c:pt>
                <c:pt idx="1">
                  <c:v>575</c:v>
                </c:pt>
                <c:pt idx="2">
                  <c:v>195</c:v>
                </c:pt>
                <c:pt idx="3">
                  <c:v>310</c:v>
                </c:pt>
                <c:pt idx="4">
                  <c:v>25380</c:v>
                </c:pt>
                <c:pt idx="5">
                  <c:v>18360</c:v>
                </c:pt>
                <c:pt idx="6">
                  <c:v>61930</c:v>
                </c:pt>
                <c:pt idx="7">
                  <c:v>1400</c:v>
                </c:pt>
                <c:pt idx="8">
                  <c:v>5357</c:v>
                </c:pt>
                <c:pt idx="9">
                  <c:v>296547</c:v>
                </c:pt>
                <c:pt idx="10">
                  <c:v>306</c:v>
                </c:pt>
                <c:pt idx="11">
                  <c:v>9077</c:v>
                </c:pt>
                <c:pt idx="12">
                  <c:v>16625</c:v>
                </c:pt>
                <c:pt idx="13">
                  <c:v>33912</c:v>
                </c:pt>
                <c:pt idx="14">
                  <c:v>6035</c:v>
                </c:pt>
                <c:pt idx="15">
                  <c:v>2941</c:v>
                </c:pt>
                <c:pt idx="16">
                  <c:v>30085</c:v>
                </c:pt>
              </c:numCache>
            </c:numRef>
          </c:val>
        </c:ser>
        <c:dLbls>
          <c:showVal val="1"/>
        </c:dLbls>
        <c:overlap val="-25"/>
        <c:axId val="95808128"/>
        <c:axId val="95887744"/>
      </c:barChart>
      <c:catAx>
        <c:axId val="95808128"/>
        <c:scaling>
          <c:orientation val="minMax"/>
        </c:scaling>
        <c:axPos val="b"/>
        <c:majorGridlines/>
        <c:majorTickMark val="cross"/>
        <c:tickLblPos val="nextTo"/>
        <c:txPr>
          <a:bodyPr/>
          <a:lstStyle/>
          <a:p>
            <a:pPr>
              <a:defRPr sz="800" baseline="0">
                <a:solidFill>
                  <a:sysClr val="windowText" lastClr="000000"/>
                </a:solidFill>
              </a:defRPr>
            </a:pPr>
            <a:endParaRPr lang="en-US"/>
          </a:p>
        </c:txPr>
        <c:crossAx val="95887744"/>
        <c:crosses val="autoZero"/>
        <c:auto val="1"/>
        <c:lblAlgn val="ctr"/>
        <c:lblOffset val="100"/>
      </c:catAx>
      <c:valAx>
        <c:axId val="95887744"/>
        <c:scaling>
          <c:orientation val="minMax"/>
          <c:max val="4000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US" sz="1000" b="1" i="0" u="none" strike="noStrike" kern="1200" baseline="0">
                    <a:solidFill>
                      <a:srgbClr val="0000FF"/>
                    </a:solidFill>
                    <a:latin typeface="Arial Narrow" pitchFamily="34" charset="0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rgbClr val="0000FF"/>
                    </a:solidFill>
                    <a:latin typeface="Arial Narrow" pitchFamily="34" charset="0"/>
                    <a:ea typeface="+mn-ea"/>
                    <a:cs typeface="+mn-cs"/>
                  </a:rPr>
                  <a:t>Trainee-Days</a:t>
                </a:r>
              </a:p>
            </c:rich>
          </c:tx>
        </c:title>
        <c:numFmt formatCode="General" sourceLinked="1"/>
        <c:tickLblPos val="nextTo"/>
        <c:crossAx val="95808128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8" l="0.1" r="1" t="0.8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>
                <a:solidFill>
                  <a:srgbClr val="0000FF"/>
                </a:solidFill>
              </a:defRPr>
            </a:pPr>
            <a:r>
              <a:rPr lang="en-US" sz="1200">
                <a:solidFill>
                  <a:srgbClr val="0000FF"/>
                </a:solidFill>
              </a:rPr>
              <a:t>Budget Utilization Allocation Vs. Utilization, (2012-13)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'Graph 12-13'!$AA$3</c:f>
              <c:strCache>
                <c:ptCount val="1"/>
                <c:pt idx="0">
                  <c:v>Revised Allocation </c:v>
                </c:pt>
              </c:strCache>
            </c:strRef>
          </c:tx>
          <c:spPr>
            <a:solidFill>
              <a:srgbClr val="0000FF"/>
            </a:solidFill>
            <a:ln>
              <a:solidFill>
                <a:srgbClr val="0000FF"/>
              </a:solidFill>
            </a:ln>
          </c:spPr>
          <c:dLbls>
            <c:txPr>
              <a:bodyPr rot="-5400000" vert="horz"/>
              <a:lstStyle/>
              <a:p>
                <a:pPr>
                  <a:defRPr sz="700"/>
                </a:pPr>
                <a:endParaRPr lang="en-US"/>
              </a:p>
            </c:txPr>
            <c:showVal val="1"/>
          </c:dLbls>
          <c:cat>
            <c:strRef>
              <c:f>'Graph 12-13'!$T$4:$T$20</c:f>
              <c:strCache>
                <c:ptCount val="17"/>
                <c:pt idx="0">
                  <c:v>TU</c:v>
                </c:pt>
                <c:pt idx="1">
                  <c:v>CDSP-IV</c:v>
                </c:pt>
                <c:pt idx="2">
                  <c:v>CRDP</c:v>
                </c:pt>
                <c:pt idx="3">
                  <c:v>ECRP</c:v>
                </c:pt>
                <c:pt idx="4">
                  <c:v>GRDIRDP</c:v>
                </c:pt>
                <c:pt idx="5">
                  <c:v>MIDPCR</c:v>
                </c:pt>
                <c:pt idx="6">
                  <c:v>PSSWRSP</c:v>
                </c:pt>
                <c:pt idx="7">
                  <c:v>RERMP</c:v>
                </c:pt>
                <c:pt idx="8">
                  <c:v>RIIP-II</c:v>
                </c:pt>
                <c:pt idx="9">
                  <c:v>RRMAIDP</c:v>
                </c:pt>
                <c:pt idx="10">
                  <c:v>Rubber Dam </c:v>
                </c:pt>
                <c:pt idx="11">
                  <c:v>SRIIP</c:v>
                </c:pt>
                <c:pt idx="12">
                  <c:v>SWBRDP</c:v>
                </c:pt>
                <c:pt idx="13">
                  <c:v>SSWRDP</c:v>
                </c:pt>
                <c:pt idx="14">
                  <c:v>SCBRMP</c:v>
                </c:pt>
                <c:pt idx="15">
                  <c:v>UGIIP-II</c:v>
                </c:pt>
                <c:pt idx="16">
                  <c:v>UPPRP</c:v>
                </c:pt>
              </c:strCache>
            </c:strRef>
          </c:cat>
          <c:val>
            <c:numRef>
              <c:f>'Graph 12-13'!$AA$4:$AA$20</c:f>
              <c:numCache>
                <c:formatCode>0</c:formatCode>
                <c:ptCount val="17"/>
                <c:pt idx="0">
                  <c:v>125</c:v>
                </c:pt>
                <c:pt idx="1">
                  <c:v>12</c:v>
                </c:pt>
                <c:pt idx="2">
                  <c:v>7</c:v>
                </c:pt>
                <c:pt idx="3">
                  <c:v>5.5</c:v>
                </c:pt>
                <c:pt idx="4">
                  <c:v>349.06</c:v>
                </c:pt>
                <c:pt idx="5">
                  <c:v>94.39</c:v>
                </c:pt>
                <c:pt idx="6">
                  <c:v>680</c:v>
                </c:pt>
                <c:pt idx="7">
                  <c:v>6.53</c:v>
                </c:pt>
                <c:pt idx="8">
                  <c:v>156</c:v>
                </c:pt>
                <c:pt idx="9">
                  <c:v>111.5</c:v>
                </c:pt>
                <c:pt idx="10">
                  <c:v>6.42</c:v>
                </c:pt>
                <c:pt idx="11">
                  <c:v>125.23</c:v>
                </c:pt>
                <c:pt idx="12">
                  <c:v>198</c:v>
                </c:pt>
                <c:pt idx="13">
                  <c:v>200</c:v>
                </c:pt>
                <c:pt idx="14">
                  <c:v>34.07</c:v>
                </c:pt>
                <c:pt idx="15">
                  <c:v>76.260000000000005</c:v>
                </c:pt>
                <c:pt idx="16">
                  <c:v>175</c:v>
                </c:pt>
              </c:numCache>
            </c:numRef>
          </c:val>
        </c:ser>
        <c:ser>
          <c:idx val="1"/>
          <c:order val="1"/>
          <c:tx>
            <c:strRef>
              <c:f>'Graph 12-13'!$AB$3</c:f>
              <c:strCache>
                <c:ptCount val="1"/>
                <c:pt idx="0">
                  <c:v>Expenditure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txPr>
              <a:bodyPr rot="-5400000" vert="horz"/>
              <a:lstStyle/>
              <a:p>
                <a:pPr>
                  <a:defRPr sz="700"/>
                </a:pPr>
                <a:endParaRPr lang="en-US"/>
              </a:p>
            </c:txPr>
            <c:showVal val="1"/>
          </c:dLbls>
          <c:cat>
            <c:strRef>
              <c:f>'Graph 12-13'!$T$4:$T$20</c:f>
              <c:strCache>
                <c:ptCount val="17"/>
                <c:pt idx="0">
                  <c:v>TU</c:v>
                </c:pt>
                <c:pt idx="1">
                  <c:v>CDSP-IV</c:v>
                </c:pt>
                <c:pt idx="2">
                  <c:v>CRDP</c:v>
                </c:pt>
                <c:pt idx="3">
                  <c:v>ECRP</c:v>
                </c:pt>
                <c:pt idx="4">
                  <c:v>GRDIRDP</c:v>
                </c:pt>
                <c:pt idx="5">
                  <c:v>MIDPCR</c:v>
                </c:pt>
                <c:pt idx="6">
                  <c:v>PSSWRSP</c:v>
                </c:pt>
                <c:pt idx="7">
                  <c:v>RERMP</c:v>
                </c:pt>
                <c:pt idx="8">
                  <c:v>RIIP-II</c:v>
                </c:pt>
                <c:pt idx="9">
                  <c:v>RRMAIDP</c:v>
                </c:pt>
                <c:pt idx="10">
                  <c:v>Rubber Dam </c:v>
                </c:pt>
                <c:pt idx="11">
                  <c:v>SRIIP</c:v>
                </c:pt>
                <c:pt idx="12">
                  <c:v>SWBRDP</c:v>
                </c:pt>
                <c:pt idx="13">
                  <c:v>SSWRDP</c:v>
                </c:pt>
                <c:pt idx="14">
                  <c:v>SCBRMP</c:v>
                </c:pt>
                <c:pt idx="15">
                  <c:v>UGIIP-II</c:v>
                </c:pt>
                <c:pt idx="16">
                  <c:v>UPPRP</c:v>
                </c:pt>
              </c:strCache>
            </c:strRef>
          </c:cat>
          <c:val>
            <c:numRef>
              <c:f>'Graph 12-13'!$AB$4:$AB$20</c:f>
              <c:numCache>
                <c:formatCode>0</c:formatCode>
                <c:ptCount val="17"/>
                <c:pt idx="0">
                  <c:v>125</c:v>
                </c:pt>
                <c:pt idx="1">
                  <c:v>11.11</c:v>
                </c:pt>
                <c:pt idx="2">
                  <c:v>7.57</c:v>
                </c:pt>
                <c:pt idx="3">
                  <c:v>7.07</c:v>
                </c:pt>
                <c:pt idx="4">
                  <c:v>194.44</c:v>
                </c:pt>
                <c:pt idx="5">
                  <c:v>90.33</c:v>
                </c:pt>
                <c:pt idx="6">
                  <c:v>674</c:v>
                </c:pt>
                <c:pt idx="7">
                  <c:v>6.52</c:v>
                </c:pt>
                <c:pt idx="8">
                  <c:v>153.63999999999999</c:v>
                </c:pt>
                <c:pt idx="9">
                  <c:v>94.5</c:v>
                </c:pt>
                <c:pt idx="10">
                  <c:v>6.4</c:v>
                </c:pt>
                <c:pt idx="11">
                  <c:v>144.72999999999999</c:v>
                </c:pt>
                <c:pt idx="12">
                  <c:v>162.91999999999999</c:v>
                </c:pt>
                <c:pt idx="13">
                  <c:v>270.62</c:v>
                </c:pt>
                <c:pt idx="14">
                  <c:v>25.86</c:v>
                </c:pt>
                <c:pt idx="15">
                  <c:v>74.52</c:v>
                </c:pt>
                <c:pt idx="16">
                  <c:v>168</c:v>
                </c:pt>
              </c:numCache>
            </c:numRef>
          </c:val>
        </c:ser>
        <c:dLbls>
          <c:showVal val="1"/>
        </c:dLbls>
        <c:overlap val="-25"/>
        <c:axId val="95954816"/>
        <c:axId val="95956352"/>
      </c:barChart>
      <c:catAx>
        <c:axId val="95954816"/>
        <c:scaling>
          <c:orientation val="minMax"/>
        </c:scaling>
        <c:axPos val="b"/>
        <c:majorGridlines/>
        <c:tickLblPos val="nextTo"/>
        <c:txPr>
          <a:bodyPr/>
          <a:lstStyle/>
          <a:p>
            <a:pPr>
              <a:defRPr baseline="0">
                <a:solidFill>
                  <a:sysClr val="windowText" lastClr="000000"/>
                </a:solidFill>
              </a:defRPr>
            </a:pPr>
            <a:endParaRPr lang="en-US"/>
          </a:p>
        </c:txPr>
        <c:crossAx val="95956352"/>
        <c:crosses val="autoZero"/>
        <c:auto val="1"/>
        <c:lblAlgn val="ctr"/>
        <c:lblOffset val="100"/>
      </c:catAx>
      <c:valAx>
        <c:axId val="95956352"/>
        <c:scaling>
          <c:orientation val="minMax"/>
          <c:max val="5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rgbClr val="0000FF"/>
                    </a:solidFill>
                  </a:defRPr>
                </a:pPr>
                <a:r>
                  <a:rPr lang="en-US" sz="1000" baseline="0">
                    <a:solidFill>
                      <a:srgbClr val="0000FF"/>
                    </a:solidFill>
                  </a:rPr>
                  <a:t> Fund in Lac Taka</a:t>
                </a:r>
                <a:endParaRPr lang="en-US" sz="1000">
                  <a:solidFill>
                    <a:srgbClr val="0000FF"/>
                  </a:solidFill>
                </a:endParaRPr>
              </a:p>
            </c:rich>
          </c:tx>
          <c:layout>
            <c:manualLayout>
              <c:xMode val="edge"/>
              <c:yMode val="edge"/>
              <c:x val="1.7411246104023396E-2"/>
              <c:y val="0.14435088274750721"/>
            </c:manualLayout>
          </c:layout>
        </c:title>
        <c:numFmt formatCode="0" sourceLinked="1"/>
        <c:tickLblPos val="nextTo"/>
        <c:crossAx val="95954816"/>
        <c:crosses val="autoZero"/>
        <c:crossBetween val="between"/>
        <c:majorUnit val="100"/>
      </c:valAx>
      <c:spPr>
        <a:noFill/>
      </c:spPr>
    </c:plotArea>
    <c:legend>
      <c:legendPos val="t"/>
    </c:legend>
    <c:plotVisOnly val="1"/>
  </c:chart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822" l="0.70000000000000095" r="0.70000000000000095" t="0.75000000000000822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>
                <a:solidFill>
                  <a:srgbClr val="0000FF"/>
                </a:solidFill>
              </a:defRPr>
            </a:pPr>
            <a:r>
              <a:rPr lang="en-US" sz="1200">
                <a:solidFill>
                  <a:srgbClr val="0000FF"/>
                </a:solidFill>
              </a:rPr>
              <a:t>Budget Utilization Allocation Vs. Utilization, (2012-13)</a:t>
            </a:r>
          </a:p>
        </c:rich>
      </c:tx>
      <c:layout>
        <c:manualLayout>
          <c:xMode val="edge"/>
          <c:yMode val="edge"/>
          <c:x val="0.13987938471613376"/>
          <c:y val="1.6098880082040908E-2"/>
        </c:manualLayout>
      </c:layout>
    </c:title>
    <c:plotArea>
      <c:layout>
        <c:manualLayout>
          <c:layoutTarget val="inner"/>
          <c:xMode val="edge"/>
          <c:yMode val="edge"/>
          <c:x val="0.14374426107568022"/>
          <c:y val="0.18408815848143437"/>
          <c:w val="0.82518102079892941"/>
          <c:h val="0.60042484564248433"/>
        </c:manualLayout>
      </c:layout>
      <c:barChart>
        <c:barDir val="col"/>
        <c:grouping val="clustered"/>
        <c:ser>
          <c:idx val="0"/>
          <c:order val="0"/>
          <c:tx>
            <c:strRef>
              <c:f>'Graph 12-13'!$AA$3</c:f>
              <c:strCache>
                <c:ptCount val="1"/>
                <c:pt idx="0">
                  <c:v>Revised Allocation </c:v>
                </c:pt>
              </c:strCache>
            </c:strRef>
          </c:tx>
          <c:spPr>
            <a:solidFill>
              <a:srgbClr val="0000FF"/>
            </a:solidFill>
            <a:ln>
              <a:solidFill>
                <a:srgbClr val="0000FF"/>
              </a:solidFill>
            </a:ln>
          </c:spPr>
          <c:dLbls>
            <c:txPr>
              <a:bodyPr rot="-5400000" vert="horz"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cat>
            <c:strRef>
              <c:f>'Graph 12-13'!$T$4:$T$20</c:f>
              <c:strCache>
                <c:ptCount val="17"/>
                <c:pt idx="0">
                  <c:v>TU</c:v>
                </c:pt>
                <c:pt idx="1">
                  <c:v>CDSP-IV</c:v>
                </c:pt>
                <c:pt idx="2">
                  <c:v>CRDP</c:v>
                </c:pt>
                <c:pt idx="3">
                  <c:v>ECRP</c:v>
                </c:pt>
                <c:pt idx="4">
                  <c:v>GRDIRDP</c:v>
                </c:pt>
                <c:pt idx="5">
                  <c:v>MIDPCR</c:v>
                </c:pt>
                <c:pt idx="6">
                  <c:v>PSSWRSP</c:v>
                </c:pt>
                <c:pt idx="7">
                  <c:v>RERMP</c:v>
                </c:pt>
                <c:pt idx="8">
                  <c:v>RIIP-II</c:v>
                </c:pt>
                <c:pt idx="9">
                  <c:v>RRMAIDP</c:v>
                </c:pt>
                <c:pt idx="10">
                  <c:v>Rubber Dam </c:v>
                </c:pt>
                <c:pt idx="11">
                  <c:v>SRIIP</c:v>
                </c:pt>
                <c:pt idx="12">
                  <c:v>SWBRDP</c:v>
                </c:pt>
                <c:pt idx="13">
                  <c:v>SSWRDP</c:v>
                </c:pt>
                <c:pt idx="14">
                  <c:v>SCBRMP</c:v>
                </c:pt>
                <c:pt idx="15">
                  <c:v>UGIIP-II</c:v>
                </c:pt>
                <c:pt idx="16">
                  <c:v>UPPRP</c:v>
                </c:pt>
              </c:strCache>
            </c:strRef>
          </c:cat>
          <c:val>
            <c:numRef>
              <c:f>'Graph 12-13'!$AA$4:$AA$20</c:f>
              <c:numCache>
                <c:formatCode>0</c:formatCode>
                <c:ptCount val="17"/>
                <c:pt idx="0">
                  <c:v>125</c:v>
                </c:pt>
                <c:pt idx="1">
                  <c:v>12</c:v>
                </c:pt>
                <c:pt idx="2">
                  <c:v>7</c:v>
                </c:pt>
                <c:pt idx="3">
                  <c:v>5.5</c:v>
                </c:pt>
                <c:pt idx="4">
                  <c:v>349.06</c:v>
                </c:pt>
                <c:pt idx="5">
                  <c:v>94.39</c:v>
                </c:pt>
                <c:pt idx="6">
                  <c:v>680</c:v>
                </c:pt>
                <c:pt idx="7">
                  <c:v>6.53</c:v>
                </c:pt>
                <c:pt idx="8">
                  <c:v>156</c:v>
                </c:pt>
                <c:pt idx="9">
                  <c:v>111.5</c:v>
                </c:pt>
                <c:pt idx="10">
                  <c:v>6.42</c:v>
                </c:pt>
                <c:pt idx="11">
                  <c:v>125.23</c:v>
                </c:pt>
                <c:pt idx="12">
                  <c:v>198</c:v>
                </c:pt>
                <c:pt idx="13">
                  <c:v>200</c:v>
                </c:pt>
                <c:pt idx="14">
                  <c:v>34.07</c:v>
                </c:pt>
                <c:pt idx="15">
                  <c:v>76.260000000000005</c:v>
                </c:pt>
                <c:pt idx="16">
                  <c:v>175</c:v>
                </c:pt>
              </c:numCache>
            </c:numRef>
          </c:val>
        </c:ser>
        <c:ser>
          <c:idx val="1"/>
          <c:order val="1"/>
          <c:tx>
            <c:strRef>
              <c:f>'Graph 12-13'!$AB$3</c:f>
              <c:strCache>
                <c:ptCount val="1"/>
                <c:pt idx="0">
                  <c:v>Expenditure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txPr>
              <a:bodyPr rot="-5400000" vert="horz"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cat>
            <c:strRef>
              <c:f>'Graph 12-13'!$T$4:$T$20</c:f>
              <c:strCache>
                <c:ptCount val="17"/>
                <c:pt idx="0">
                  <c:v>TU</c:v>
                </c:pt>
                <c:pt idx="1">
                  <c:v>CDSP-IV</c:v>
                </c:pt>
                <c:pt idx="2">
                  <c:v>CRDP</c:v>
                </c:pt>
                <c:pt idx="3">
                  <c:v>ECRP</c:v>
                </c:pt>
                <c:pt idx="4">
                  <c:v>GRDIRDP</c:v>
                </c:pt>
                <c:pt idx="5">
                  <c:v>MIDPCR</c:v>
                </c:pt>
                <c:pt idx="6">
                  <c:v>PSSWRSP</c:v>
                </c:pt>
                <c:pt idx="7">
                  <c:v>RERMP</c:v>
                </c:pt>
                <c:pt idx="8">
                  <c:v>RIIP-II</c:v>
                </c:pt>
                <c:pt idx="9">
                  <c:v>RRMAIDP</c:v>
                </c:pt>
                <c:pt idx="10">
                  <c:v>Rubber Dam </c:v>
                </c:pt>
                <c:pt idx="11">
                  <c:v>SRIIP</c:v>
                </c:pt>
                <c:pt idx="12">
                  <c:v>SWBRDP</c:v>
                </c:pt>
                <c:pt idx="13">
                  <c:v>SSWRDP</c:v>
                </c:pt>
                <c:pt idx="14">
                  <c:v>SCBRMP</c:v>
                </c:pt>
                <c:pt idx="15">
                  <c:v>UGIIP-II</c:v>
                </c:pt>
                <c:pt idx="16">
                  <c:v>UPPRP</c:v>
                </c:pt>
              </c:strCache>
            </c:strRef>
          </c:cat>
          <c:val>
            <c:numRef>
              <c:f>'Graph 12-13'!$AB$4:$AB$20</c:f>
              <c:numCache>
                <c:formatCode>0</c:formatCode>
                <c:ptCount val="17"/>
                <c:pt idx="0">
                  <c:v>125</c:v>
                </c:pt>
                <c:pt idx="1">
                  <c:v>11.11</c:v>
                </c:pt>
                <c:pt idx="2">
                  <c:v>7.57</c:v>
                </c:pt>
                <c:pt idx="3">
                  <c:v>7.07</c:v>
                </c:pt>
                <c:pt idx="4">
                  <c:v>194.44</c:v>
                </c:pt>
                <c:pt idx="5">
                  <c:v>90.33</c:v>
                </c:pt>
                <c:pt idx="6">
                  <c:v>674</c:v>
                </c:pt>
                <c:pt idx="7">
                  <c:v>6.52</c:v>
                </c:pt>
                <c:pt idx="8">
                  <c:v>153.63999999999999</c:v>
                </c:pt>
                <c:pt idx="9">
                  <c:v>94.5</c:v>
                </c:pt>
                <c:pt idx="10">
                  <c:v>6.4</c:v>
                </c:pt>
                <c:pt idx="11">
                  <c:v>144.72999999999999</c:v>
                </c:pt>
                <c:pt idx="12">
                  <c:v>162.91999999999999</c:v>
                </c:pt>
                <c:pt idx="13">
                  <c:v>270.62</c:v>
                </c:pt>
                <c:pt idx="14">
                  <c:v>25.86</c:v>
                </c:pt>
                <c:pt idx="15">
                  <c:v>74.52</c:v>
                </c:pt>
                <c:pt idx="16">
                  <c:v>168</c:v>
                </c:pt>
              </c:numCache>
            </c:numRef>
          </c:val>
        </c:ser>
        <c:dLbls>
          <c:showVal val="1"/>
        </c:dLbls>
        <c:overlap val="-25"/>
        <c:axId val="98457472"/>
        <c:axId val="98459008"/>
      </c:barChart>
      <c:catAx>
        <c:axId val="98457472"/>
        <c:scaling>
          <c:orientation val="minMax"/>
        </c:scaling>
        <c:axPos val="b"/>
        <c:tickLblPos val="nextTo"/>
        <c:crossAx val="98459008"/>
        <c:crosses val="autoZero"/>
        <c:auto val="1"/>
        <c:lblAlgn val="ctr"/>
        <c:lblOffset val="100"/>
      </c:catAx>
      <c:valAx>
        <c:axId val="98459008"/>
        <c:scaling>
          <c:orientation val="minMax"/>
          <c:max val="5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rgbClr val="0000FF"/>
                    </a:solidFill>
                  </a:defRPr>
                </a:pPr>
                <a:r>
                  <a:rPr lang="en-US" sz="1000" baseline="0">
                    <a:solidFill>
                      <a:srgbClr val="0000FF"/>
                    </a:solidFill>
                  </a:rPr>
                  <a:t> Fund in Lac Taka</a:t>
                </a:r>
                <a:endParaRPr lang="en-US" sz="1000">
                  <a:solidFill>
                    <a:srgbClr val="0000FF"/>
                  </a:solidFill>
                </a:endParaRPr>
              </a:p>
            </c:rich>
          </c:tx>
          <c:layout>
            <c:manualLayout>
              <c:xMode val="edge"/>
              <c:yMode val="edge"/>
              <c:x val="1.7411246104023396E-2"/>
              <c:y val="0.14435088274750721"/>
            </c:manualLayout>
          </c:layout>
        </c:title>
        <c:numFmt formatCode="0" sourceLinked="1"/>
        <c:tickLblPos val="nextTo"/>
        <c:crossAx val="98457472"/>
        <c:crosses val="autoZero"/>
        <c:crossBetween val="between"/>
        <c:majorUnit val="100"/>
      </c:valAx>
      <c:spPr>
        <a:noFill/>
      </c:spPr>
    </c:plotArea>
    <c:legend>
      <c:legendPos val="t"/>
      <c:layout>
        <c:manualLayout>
          <c:xMode val="edge"/>
          <c:yMode val="edge"/>
          <c:x val="0.44047772109039857"/>
          <c:y val="0.10371706779722248"/>
          <c:w val="0.52744068092789687"/>
          <c:h val="6.0247523450332303E-2"/>
        </c:manualLayout>
      </c:layout>
    </c:legend>
    <c:plotVisOnly val="1"/>
  </c:chart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844" l="0.70000000000000095" r="0.70000000000000095" t="0.75000000000000844" header="0.30000000000000032" footer="0.3000000000000003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0"/>
  <c:chart>
    <c:title>
      <c:tx>
        <c:rich>
          <a:bodyPr/>
          <a:lstStyle/>
          <a:p>
            <a:pPr>
              <a:defRPr sz="1200">
                <a:solidFill>
                  <a:srgbClr val="0000FF"/>
                </a:solidFill>
              </a:defRPr>
            </a:pPr>
            <a:r>
              <a:rPr lang="en-US" sz="1200">
                <a:solidFill>
                  <a:srgbClr val="0000FF"/>
                </a:solidFill>
              </a:rPr>
              <a:t>Trainee-Days Planned vs. Achievement, (2012-13)</a:t>
            </a:r>
          </a:p>
        </c:rich>
      </c:tx>
      <c:layout>
        <c:manualLayout>
          <c:xMode val="edge"/>
          <c:yMode val="edge"/>
          <c:x val="7.8644853654104049E-2"/>
          <c:y val="1.4005328494205521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'Graph 12-13'!$Y$3</c:f>
              <c:strCache>
                <c:ptCount val="1"/>
                <c:pt idx="0">
                  <c:v>Trainee-Days planned </c:v>
                </c:pt>
              </c:strCache>
            </c:strRef>
          </c:tx>
          <c:spPr>
            <a:solidFill>
              <a:srgbClr val="6600FF"/>
            </a:solidFill>
          </c:spPr>
          <c:dLbls>
            <c:txPr>
              <a:bodyPr rot="-5400000" vert="horz"/>
              <a:lstStyle/>
              <a:p>
                <a:pPr>
                  <a:defRPr sz="7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Val val="1"/>
          </c:dLbls>
          <c:cat>
            <c:strRef>
              <c:f>'Graph 12-13'!$T$4:$T$20</c:f>
              <c:strCache>
                <c:ptCount val="17"/>
                <c:pt idx="0">
                  <c:v>TU</c:v>
                </c:pt>
                <c:pt idx="1">
                  <c:v>CDSP-IV</c:v>
                </c:pt>
                <c:pt idx="2">
                  <c:v>CRDP</c:v>
                </c:pt>
                <c:pt idx="3">
                  <c:v>ECRP</c:v>
                </c:pt>
                <c:pt idx="4">
                  <c:v>GRDIRDP</c:v>
                </c:pt>
                <c:pt idx="5">
                  <c:v>MIDPCR</c:v>
                </c:pt>
                <c:pt idx="6">
                  <c:v>PSSWRSP</c:v>
                </c:pt>
                <c:pt idx="7">
                  <c:v>RERMP</c:v>
                </c:pt>
                <c:pt idx="8">
                  <c:v>RIIP-II</c:v>
                </c:pt>
                <c:pt idx="9">
                  <c:v>RRMAIDP</c:v>
                </c:pt>
                <c:pt idx="10">
                  <c:v>Rubber Dam </c:v>
                </c:pt>
                <c:pt idx="11">
                  <c:v>SRIIP</c:v>
                </c:pt>
                <c:pt idx="12">
                  <c:v>SWBRDP</c:v>
                </c:pt>
                <c:pt idx="13">
                  <c:v>SSWRDP</c:v>
                </c:pt>
                <c:pt idx="14">
                  <c:v>SCBRMP</c:v>
                </c:pt>
                <c:pt idx="15">
                  <c:v>UGIIP-II</c:v>
                </c:pt>
                <c:pt idx="16">
                  <c:v>UPPRP</c:v>
                </c:pt>
              </c:strCache>
            </c:strRef>
          </c:cat>
          <c:val>
            <c:numRef>
              <c:f>'Graph 12-13'!$Y$4:$Y$20</c:f>
              <c:numCache>
                <c:formatCode>General</c:formatCode>
                <c:ptCount val="17"/>
                <c:pt idx="0">
                  <c:v>6645</c:v>
                </c:pt>
                <c:pt idx="1">
                  <c:v>600</c:v>
                </c:pt>
                <c:pt idx="2">
                  <c:v>150</c:v>
                </c:pt>
                <c:pt idx="3">
                  <c:v>432</c:v>
                </c:pt>
                <c:pt idx="4">
                  <c:v>52560</c:v>
                </c:pt>
                <c:pt idx="5">
                  <c:v>18630</c:v>
                </c:pt>
                <c:pt idx="6">
                  <c:v>40647</c:v>
                </c:pt>
                <c:pt idx="7">
                  <c:v>1400</c:v>
                </c:pt>
                <c:pt idx="8">
                  <c:v>5904</c:v>
                </c:pt>
                <c:pt idx="9">
                  <c:v>358740</c:v>
                </c:pt>
                <c:pt idx="10">
                  <c:v>306</c:v>
                </c:pt>
                <c:pt idx="11">
                  <c:v>9197</c:v>
                </c:pt>
                <c:pt idx="12">
                  <c:v>21764</c:v>
                </c:pt>
                <c:pt idx="13">
                  <c:v>33015</c:v>
                </c:pt>
                <c:pt idx="14">
                  <c:v>12894</c:v>
                </c:pt>
                <c:pt idx="15">
                  <c:v>3056</c:v>
                </c:pt>
                <c:pt idx="16">
                  <c:v>42195</c:v>
                </c:pt>
              </c:numCache>
            </c:numRef>
          </c:val>
        </c:ser>
        <c:ser>
          <c:idx val="1"/>
          <c:order val="1"/>
          <c:tx>
            <c:strRef>
              <c:f>'Graph 12-13'!$Z$3</c:f>
              <c:strCache>
                <c:ptCount val="1"/>
                <c:pt idx="0">
                  <c:v>Trainee-Days achieved 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7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Val val="1"/>
          </c:dLbls>
          <c:cat>
            <c:strRef>
              <c:f>'Graph 12-13'!$T$4:$T$20</c:f>
              <c:strCache>
                <c:ptCount val="17"/>
                <c:pt idx="0">
                  <c:v>TU</c:v>
                </c:pt>
                <c:pt idx="1">
                  <c:v>CDSP-IV</c:v>
                </c:pt>
                <c:pt idx="2">
                  <c:v>CRDP</c:v>
                </c:pt>
                <c:pt idx="3">
                  <c:v>ECRP</c:v>
                </c:pt>
                <c:pt idx="4">
                  <c:v>GRDIRDP</c:v>
                </c:pt>
                <c:pt idx="5">
                  <c:v>MIDPCR</c:v>
                </c:pt>
                <c:pt idx="6">
                  <c:v>PSSWRSP</c:v>
                </c:pt>
                <c:pt idx="7">
                  <c:v>RERMP</c:v>
                </c:pt>
                <c:pt idx="8">
                  <c:v>RIIP-II</c:v>
                </c:pt>
                <c:pt idx="9">
                  <c:v>RRMAIDP</c:v>
                </c:pt>
                <c:pt idx="10">
                  <c:v>Rubber Dam </c:v>
                </c:pt>
                <c:pt idx="11">
                  <c:v>SRIIP</c:v>
                </c:pt>
                <c:pt idx="12">
                  <c:v>SWBRDP</c:v>
                </c:pt>
                <c:pt idx="13">
                  <c:v>SSWRDP</c:v>
                </c:pt>
                <c:pt idx="14">
                  <c:v>SCBRMP</c:v>
                </c:pt>
                <c:pt idx="15">
                  <c:v>UGIIP-II</c:v>
                </c:pt>
                <c:pt idx="16">
                  <c:v>UPPRP</c:v>
                </c:pt>
              </c:strCache>
            </c:strRef>
          </c:cat>
          <c:val>
            <c:numRef>
              <c:f>'Graph 12-13'!$Z$4:$Z$20</c:f>
              <c:numCache>
                <c:formatCode>General</c:formatCode>
                <c:ptCount val="17"/>
                <c:pt idx="0">
                  <c:v>7372</c:v>
                </c:pt>
                <c:pt idx="1">
                  <c:v>575</c:v>
                </c:pt>
                <c:pt idx="2">
                  <c:v>195</c:v>
                </c:pt>
                <c:pt idx="3">
                  <c:v>310</c:v>
                </c:pt>
                <c:pt idx="4">
                  <c:v>25380</c:v>
                </c:pt>
                <c:pt idx="5">
                  <c:v>18360</c:v>
                </c:pt>
                <c:pt idx="6">
                  <c:v>61930</c:v>
                </c:pt>
                <c:pt idx="7">
                  <c:v>1400</c:v>
                </c:pt>
                <c:pt idx="8">
                  <c:v>5357</c:v>
                </c:pt>
                <c:pt idx="9">
                  <c:v>296547</c:v>
                </c:pt>
                <c:pt idx="10">
                  <c:v>306</c:v>
                </c:pt>
                <c:pt idx="11">
                  <c:v>9077</c:v>
                </c:pt>
                <c:pt idx="12">
                  <c:v>16625</c:v>
                </c:pt>
                <c:pt idx="13">
                  <c:v>33912</c:v>
                </c:pt>
                <c:pt idx="14">
                  <c:v>6035</c:v>
                </c:pt>
                <c:pt idx="15">
                  <c:v>2941</c:v>
                </c:pt>
                <c:pt idx="16">
                  <c:v>30085</c:v>
                </c:pt>
              </c:numCache>
            </c:numRef>
          </c:val>
        </c:ser>
        <c:dLbls>
          <c:showVal val="1"/>
        </c:dLbls>
        <c:overlap val="-25"/>
        <c:axId val="98374784"/>
        <c:axId val="98376320"/>
      </c:barChart>
      <c:catAx>
        <c:axId val="9837478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800" baseline="0">
                <a:solidFill>
                  <a:sysClr val="windowText" lastClr="000000"/>
                </a:solidFill>
              </a:defRPr>
            </a:pPr>
            <a:endParaRPr lang="en-US"/>
          </a:p>
        </c:txPr>
        <c:crossAx val="98376320"/>
        <c:crosses val="autoZero"/>
        <c:auto val="1"/>
        <c:lblAlgn val="ctr"/>
        <c:lblOffset val="100"/>
      </c:catAx>
      <c:valAx>
        <c:axId val="98376320"/>
        <c:scaling>
          <c:orientation val="minMax"/>
          <c:max val="400000"/>
        </c:scaling>
        <c:delete val="1"/>
        <c:axPos val="l"/>
        <c:majorGridlines/>
        <c:title>
          <c:tx>
            <c:rich>
              <a:bodyPr rot="-5400000" vert="horz"/>
              <a:lstStyle/>
              <a:p>
                <a:pPr>
                  <a:defRPr lang="en-US" sz="1000" b="1" i="0" u="none" strike="noStrike" kern="1200" baseline="0">
                    <a:solidFill>
                      <a:srgbClr val="0000FF"/>
                    </a:solidFill>
                    <a:latin typeface="Arial Narrow" pitchFamily="34" charset="0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rgbClr val="0000FF"/>
                    </a:solidFill>
                    <a:latin typeface="Arial Narrow" pitchFamily="34" charset="0"/>
                    <a:ea typeface="+mn-ea"/>
                    <a:cs typeface="+mn-cs"/>
                  </a:rPr>
                  <a:t>Trainee-Days</a:t>
                </a:r>
              </a:p>
            </c:rich>
          </c:tx>
        </c:title>
        <c:numFmt formatCode="General" sourceLinked="1"/>
        <c:tickLblPos val="nextTo"/>
        <c:crossAx val="983747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7.0148590454927412E-2"/>
          <c:y val="9.5477366537820268E-2"/>
          <c:w val="0.9271231305926465"/>
          <c:h val="4.0817040196329472E-2"/>
        </c:manualLayout>
      </c:layout>
    </c:legend>
    <c:plotVisOnly val="1"/>
  </c:chart>
  <c:printSettings>
    <c:headerFooter/>
    <c:pageMargins b="0.8" l="0.1" r="1" t="0.8" header="0.30000000000000032" footer="0.30000000000000032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/>
            </a:pPr>
            <a:r>
              <a:rPr lang="en-US" sz="1400">
                <a:solidFill>
                  <a:srgbClr val="0000FF"/>
                </a:solidFill>
              </a:rPr>
              <a:t>Nos. of Event Planned Vs </a:t>
            </a:r>
            <a:r>
              <a:rPr lang="en-US" sz="1200">
                <a:solidFill>
                  <a:srgbClr val="0000FF"/>
                </a:solidFill>
              </a:rPr>
              <a:t>Achiement</a:t>
            </a:r>
            <a:r>
              <a:rPr lang="en-US" sz="1400">
                <a:solidFill>
                  <a:srgbClr val="0000FF"/>
                </a:solidFill>
              </a:rPr>
              <a:t> (2012-13)</a:t>
            </a:r>
          </a:p>
        </c:rich>
      </c:tx>
      <c:layout>
        <c:manualLayout>
          <c:xMode val="edge"/>
          <c:yMode val="edge"/>
          <c:x val="0.14152838681643731"/>
          <c:y val="7.9306078061534904E-3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'Graph 12-13'!$U$3</c:f>
              <c:strCache>
                <c:ptCount val="1"/>
                <c:pt idx="0">
                  <c:v>Events planned 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txPr>
              <a:bodyPr rot="-5400000" vert="horz"/>
              <a:lstStyle/>
              <a:p>
                <a:pPr>
                  <a:defRPr sz="7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Val val="1"/>
          </c:dLbls>
          <c:cat>
            <c:strRef>
              <c:f>'Graph 12-13'!$T$4:$T$20</c:f>
              <c:strCache>
                <c:ptCount val="17"/>
                <c:pt idx="0">
                  <c:v>TU</c:v>
                </c:pt>
                <c:pt idx="1">
                  <c:v>CDSP-IV</c:v>
                </c:pt>
                <c:pt idx="2">
                  <c:v>CRDP</c:v>
                </c:pt>
                <c:pt idx="3">
                  <c:v>ECRP</c:v>
                </c:pt>
                <c:pt idx="4">
                  <c:v>GRDIRDP</c:v>
                </c:pt>
                <c:pt idx="5">
                  <c:v>MIDPCR</c:v>
                </c:pt>
                <c:pt idx="6">
                  <c:v>PSSWRSP</c:v>
                </c:pt>
                <c:pt idx="7">
                  <c:v>RERMP</c:v>
                </c:pt>
                <c:pt idx="8">
                  <c:v>RIIP-II</c:v>
                </c:pt>
                <c:pt idx="9">
                  <c:v>RRMAIDP</c:v>
                </c:pt>
                <c:pt idx="10">
                  <c:v>Rubber Dam </c:v>
                </c:pt>
                <c:pt idx="11">
                  <c:v>SRIIP</c:v>
                </c:pt>
                <c:pt idx="12">
                  <c:v>SWBRDP</c:v>
                </c:pt>
                <c:pt idx="13">
                  <c:v>SSWRDP</c:v>
                </c:pt>
                <c:pt idx="14">
                  <c:v>SCBRMP</c:v>
                </c:pt>
                <c:pt idx="15">
                  <c:v>UGIIP-II</c:v>
                </c:pt>
                <c:pt idx="16">
                  <c:v>UPPRP</c:v>
                </c:pt>
              </c:strCache>
            </c:strRef>
          </c:cat>
          <c:val>
            <c:numRef>
              <c:f>'Graph 12-13'!$U$4:$U$20</c:f>
              <c:numCache>
                <c:formatCode>General</c:formatCode>
                <c:ptCount val="17"/>
                <c:pt idx="0">
                  <c:v>74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149</c:v>
                </c:pt>
                <c:pt idx="5">
                  <c:v>448</c:v>
                </c:pt>
                <c:pt idx="6">
                  <c:v>662</c:v>
                </c:pt>
                <c:pt idx="7">
                  <c:v>36</c:v>
                </c:pt>
                <c:pt idx="8">
                  <c:v>95</c:v>
                </c:pt>
                <c:pt idx="9">
                  <c:v>408</c:v>
                </c:pt>
                <c:pt idx="10">
                  <c:v>6</c:v>
                </c:pt>
                <c:pt idx="11">
                  <c:v>64</c:v>
                </c:pt>
                <c:pt idx="12">
                  <c:v>515</c:v>
                </c:pt>
                <c:pt idx="13">
                  <c:v>638</c:v>
                </c:pt>
                <c:pt idx="14">
                  <c:v>295</c:v>
                </c:pt>
                <c:pt idx="15">
                  <c:v>71</c:v>
                </c:pt>
                <c:pt idx="16">
                  <c:v>880</c:v>
                </c:pt>
              </c:numCache>
            </c:numRef>
          </c:val>
        </c:ser>
        <c:ser>
          <c:idx val="1"/>
          <c:order val="1"/>
          <c:tx>
            <c:strRef>
              <c:f>'Graph 12-13'!$V$3</c:f>
              <c:strCache>
                <c:ptCount val="1"/>
                <c:pt idx="0">
                  <c:v>Events achieved</c:v>
                </c:pt>
              </c:strCache>
            </c:strRef>
          </c:tx>
          <c:dLbls>
            <c:dLbl>
              <c:idx val="14"/>
              <c:layout>
                <c:manualLayout>
                  <c:x val="8.4269655465836566E-3"/>
                  <c:y val="0"/>
                </c:manualLayout>
              </c:layout>
              <c:showVal val="1"/>
              <c:separator> </c:separator>
            </c:dLbl>
            <c:dLbl>
              <c:idx val="16"/>
              <c:layout>
                <c:manualLayout>
                  <c:x val="5.0561793279501914E-3"/>
                  <c:y val="5.905970044689288E-17"/>
                </c:manualLayout>
              </c:layout>
              <c:showVal val="1"/>
              <c:separator> </c:separator>
            </c:dLbl>
            <c:txPr>
              <a:bodyPr rot="-5400000" vert="horz"/>
              <a:lstStyle/>
              <a:p>
                <a:pPr>
                  <a:defRPr sz="7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Val val="1"/>
            <c:separator> </c:separator>
          </c:dLbls>
          <c:cat>
            <c:strRef>
              <c:f>'Graph 12-13'!$T$4:$T$20</c:f>
              <c:strCache>
                <c:ptCount val="17"/>
                <c:pt idx="0">
                  <c:v>TU</c:v>
                </c:pt>
                <c:pt idx="1">
                  <c:v>CDSP-IV</c:v>
                </c:pt>
                <c:pt idx="2">
                  <c:v>CRDP</c:v>
                </c:pt>
                <c:pt idx="3">
                  <c:v>ECRP</c:v>
                </c:pt>
                <c:pt idx="4">
                  <c:v>GRDIRDP</c:v>
                </c:pt>
                <c:pt idx="5">
                  <c:v>MIDPCR</c:v>
                </c:pt>
                <c:pt idx="6">
                  <c:v>PSSWRSP</c:v>
                </c:pt>
                <c:pt idx="7">
                  <c:v>RERMP</c:v>
                </c:pt>
                <c:pt idx="8">
                  <c:v>RIIP-II</c:v>
                </c:pt>
                <c:pt idx="9">
                  <c:v>RRMAIDP</c:v>
                </c:pt>
                <c:pt idx="10">
                  <c:v>Rubber Dam </c:v>
                </c:pt>
                <c:pt idx="11">
                  <c:v>SRIIP</c:v>
                </c:pt>
                <c:pt idx="12">
                  <c:v>SWBRDP</c:v>
                </c:pt>
                <c:pt idx="13">
                  <c:v>SSWRDP</c:v>
                </c:pt>
                <c:pt idx="14">
                  <c:v>SCBRMP</c:v>
                </c:pt>
                <c:pt idx="15">
                  <c:v>UGIIP-II</c:v>
                </c:pt>
                <c:pt idx="16">
                  <c:v>UPPRP</c:v>
                </c:pt>
              </c:strCache>
            </c:strRef>
          </c:cat>
          <c:val>
            <c:numRef>
              <c:f>'Graph 12-13'!$V$4:$V$20</c:f>
              <c:numCache>
                <c:formatCode>General</c:formatCode>
                <c:ptCount val="17"/>
                <c:pt idx="0">
                  <c:v>81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106</c:v>
                </c:pt>
                <c:pt idx="5">
                  <c:v>437</c:v>
                </c:pt>
                <c:pt idx="6">
                  <c:v>805</c:v>
                </c:pt>
                <c:pt idx="7">
                  <c:v>36</c:v>
                </c:pt>
                <c:pt idx="8">
                  <c:v>95</c:v>
                </c:pt>
                <c:pt idx="9">
                  <c:v>424</c:v>
                </c:pt>
                <c:pt idx="10">
                  <c:v>6</c:v>
                </c:pt>
                <c:pt idx="11">
                  <c:v>64</c:v>
                </c:pt>
                <c:pt idx="12">
                  <c:v>380</c:v>
                </c:pt>
                <c:pt idx="13">
                  <c:v>537</c:v>
                </c:pt>
                <c:pt idx="14">
                  <c:v>113</c:v>
                </c:pt>
                <c:pt idx="15">
                  <c:v>71</c:v>
                </c:pt>
                <c:pt idx="16">
                  <c:v>642</c:v>
                </c:pt>
              </c:numCache>
            </c:numRef>
          </c:val>
        </c:ser>
        <c:gapWidth val="75"/>
        <c:axId val="98427264"/>
        <c:axId val="98428800"/>
      </c:barChart>
      <c:catAx>
        <c:axId val="9842726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800" baseline="0">
                <a:solidFill>
                  <a:sysClr val="windowText" lastClr="000000"/>
                </a:solidFill>
              </a:defRPr>
            </a:pPr>
            <a:endParaRPr lang="en-US"/>
          </a:p>
        </c:txPr>
        <c:crossAx val="98428800"/>
        <c:crosses val="autoZero"/>
        <c:auto val="1"/>
        <c:lblAlgn val="ctr"/>
        <c:lblOffset val="100"/>
      </c:catAx>
      <c:valAx>
        <c:axId val="9842880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0000FF"/>
                    </a:solidFill>
                  </a:defRPr>
                </a:pPr>
                <a:r>
                  <a:rPr lang="en-US">
                    <a:solidFill>
                      <a:srgbClr val="0000FF"/>
                    </a:solidFill>
                  </a:rPr>
                  <a:t>Nos. of Events</a:t>
                </a:r>
              </a:p>
            </c:rich>
          </c:tx>
        </c:title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98427264"/>
        <c:crosses val="autoZero"/>
        <c:crossBetween val="between"/>
        <c:majorUnit val="200"/>
      </c:valAx>
    </c:plotArea>
    <c:legend>
      <c:legendPos val="t"/>
      <c:layout>
        <c:manualLayout>
          <c:xMode val="edge"/>
          <c:yMode val="edge"/>
          <c:x val="0.24814673704086879"/>
          <c:y val="8.3628285427035293E-2"/>
          <c:w val="0.50370630832890717"/>
          <c:h val="7.1704269415944905E-2"/>
        </c:manualLayout>
      </c:layout>
    </c:legend>
    <c:plotVisOnly val="1"/>
  </c:chart>
  <c:printSettings>
    <c:headerFooter/>
    <c:pageMargins b="0.75000000000001144" l="0.70000000000000095" r="0.70000000000000095" t="0.75000000000001144" header="0.30000000000000032" footer="0.30000000000000032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>
                <a:solidFill>
                  <a:srgbClr val="0000FF"/>
                </a:solidFill>
              </a:rPr>
              <a:t>Participants</a:t>
            </a:r>
            <a:r>
              <a:rPr lang="en-US" sz="1200"/>
              <a:t> </a:t>
            </a:r>
            <a:r>
              <a:rPr lang="en-US" sz="1200">
                <a:solidFill>
                  <a:srgbClr val="0000FF"/>
                </a:solidFill>
              </a:rPr>
              <a:t>Planned</a:t>
            </a:r>
            <a:r>
              <a:rPr lang="en-US" sz="1200"/>
              <a:t>  </a:t>
            </a:r>
            <a:r>
              <a:rPr lang="en-US" sz="1200">
                <a:solidFill>
                  <a:srgbClr val="0000FF"/>
                </a:solidFill>
              </a:rPr>
              <a:t>Vs</a:t>
            </a:r>
            <a:r>
              <a:rPr lang="en-US" sz="1200"/>
              <a:t> </a:t>
            </a:r>
            <a:r>
              <a:rPr lang="en-US" sz="1200">
                <a:solidFill>
                  <a:srgbClr val="0000FF"/>
                </a:solidFill>
              </a:rPr>
              <a:t>Achievement</a:t>
            </a:r>
            <a:r>
              <a:rPr lang="en-US" sz="1200"/>
              <a:t> (</a:t>
            </a:r>
            <a:r>
              <a:rPr lang="en-US" sz="1200">
                <a:solidFill>
                  <a:srgbClr val="0000FF"/>
                </a:solidFill>
              </a:rPr>
              <a:t>2012-13</a:t>
            </a:r>
            <a:r>
              <a:rPr lang="en-US" sz="1200"/>
              <a:t>)</a:t>
            </a:r>
          </a:p>
        </c:rich>
      </c:tx>
      <c:layout>
        <c:manualLayout>
          <c:xMode val="edge"/>
          <c:yMode val="edge"/>
          <c:x val="0.14179254872027094"/>
          <c:y val="0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'Graph 12-13'!$W$3</c:f>
              <c:strCache>
                <c:ptCount val="1"/>
                <c:pt idx="0">
                  <c:v>Participant planned 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700"/>
                </a:pPr>
                <a:endParaRPr lang="en-US"/>
              </a:p>
            </c:txPr>
            <c:showVal val="1"/>
          </c:dLbls>
          <c:cat>
            <c:strRef>
              <c:f>'Graph 12-13'!$T$4:$T$20</c:f>
              <c:strCache>
                <c:ptCount val="17"/>
                <c:pt idx="0">
                  <c:v>TU</c:v>
                </c:pt>
                <c:pt idx="1">
                  <c:v>CDSP-IV</c:v>
                </c:pt>
                <c:pt idx="2">
                  <c:v>CRDP</c:v>
                </c:pt>
                <c:pt idx="3">
                  <c:v>ECRP</c:v>
                </c:pt>
                <c:pt idx="4">
                  <c:v>GRDIRDP</c:v>
                </c:pt>
                <c:pt idx="5">
                  <c:v>MIDPCR</c:v>
                </c:pt>
                <c:pt idx="6">
                  <c:v>PSSWRSP</c:v>
                </c:pt>
                <c:pt idx="7">
                  <c:v>RERMP</c:v>
                </c:pt>
                <c:pt idx="8">
                  <c:v>RIIP-II</c:v>
                </c:pt>
                <c:pt idx="9">
                  <c:v>RRMAIDP</c:v>
                </c:pt>
                <c:pt idx="10">
                  <c:v>Rubber Dam </c:v>
                </c:pt>
                <c:pt idx="11">
                  <c:v>SRIIP</c:v>
                </c:pt>
                <c:pt idx="12">
                  <c:v>SWBRDP</c:v>
                </c:pt>
                <c:pt idx="13">
                  <c:v>SSWRDP</c:v>
                </c:pt>
                <c:pt idx="14">
                  <c:v>SCBRMP</c:v>
                </c:pt>
                <c:pt idx="15">
                  <c:v>UGIIP-II</c:v>
                </c:pt>
                <c:pt idx="16">
                  <c:v>UPPRP</c:v>
                </c:pt>
              </c:strCache>
            </c:strRef>
          </c:cat>
          <c:val>
            <c:numRef>
              <c:f>'Graph 12-13'!$W$4:$W$20</c:f>
              <c:numCache>
                <c:formatCode>General</c:formatCode>
                <c:ptCount val="17"/>
                <c:pt idx="0">
                  <c:v>1760</c:v>
                </c:pt>
                <c:pt idx="1">
                  <c:v>120</c:v>
                </c:pt>
                <c:pt idx="2">
                  <c:v>75</c:v>
                </c:pt>
                <c:pt idx="3">
                  <c:v>189</c:v>
                </c:pt>
                <c:pt idx="4">
                  <c:v>3324</c:v>
                </c:pt>
                <c:pt idx="5">
                  <c:v>1155</c:v>
                </c:pt>
                <c:pt idx="6">
                  <c:v>2139</c:v>
                </c:pt>
                <c:pt idx="7">
                  <c:v>1400</c:v>
                </c:pt>
                <c:pt idx="8">
                  <c:v>2852</c:v>
                </c:pt>
                <c:pt idx="9">
                  <c:v>12208</c:v>
                </c:pt>
                <c:pt idx="10">
                  <c:v>102</c:v>
                </c:pt>
                <c:pt idx="11">
                  <c:v>3173</c:v>
                </c:pt>
                <c:pt idx="12">
                  <c:v>7221</c:v>
                </c:pt>
                <c:pt idx="13">
                  <c:v>1068</c:v>
                </c:pt>
                <c:pt idx="14">
                  <c:v>10092</c:v>
                </c:pt>
                <c:pt idx="15">
                  <c:v>696</c:v>
                </c:pt>
                <c:pt idx="16">
                  <c:v>19580</c:v>
                </c:pt>
              </c:numCache>
            </c:numRef>
          </c:val>
        </c:ser>
        <c:ser>
          <c:idx val="1"/>
          <c:order val="1"/>
          <c:tx>
            <c:strRef>
              <c:f>'Graph 12-13'!$X$3</c:f>
              <c:strCache>
                <c:ptCount val="1"/>
                <c:pt idx="0">
                  <c:v>Participant achieved 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700"/>
                </a:pPr>
                <a:endParaRPr lang="en-US"/>
              </a:p>
            </c:txPr>
            <c:showVal val="1"/>
          </c:dLbls>
          <c:cat>
            <c:strRef>
              <c:f>'Graph 12-13'!$T$4:$T$20</c:f>
              <c:strCache>
                <c:ptCount val="17"/>
                <c:pt idx="0">
                  <c:v>TU</c:v>
                </c:pt>
                <c:pt idx="1">
                  <c:v>CDSP-IV</c:v>
                </c:pt>
                <c:pt idx="2">
                  <c:v>CRDP</c:v>
                </c:pt>
                <c:pt idx="3">
                  <c:v>ECRP</c:v>
                </c:pt>
                <c:pt idx="4">
                  <c:v>GRDIRDP</c:v>
                </c:pt>
                <c:pt idx="5">
                  <c:v>MIDPCR</c:v>
                </c:pt>
                <c:pt idx="6">
                  <c:v>PSSWRSP</c:v>
                </c:pt>
                <c:pt idx="7">
                  <c:v>RERMP</c:v>
                </c:pt>
                <c:pt idx="8">
                  <c:v>RIIP-II</c:v>
                </c:pt>
                <c:pt idx="9">
                  <c:v>RRMAIDP</c:v>
                </c:pt>
                <c:pt idx="10">
                  <c:v>Rubber Dam </c:v>
                </c:pt>
                <c:pt idx="11">
                  <c:v>SRIIP</c:v>
                </c:pt>
                <c:pt idx="12">
                  <c:v>SWBRDP</c:v>
                </c:pt>
                <c:pt idx="13">
                  <c:v>SSWRDP</c:v>
                </c:pt>
                <c:pt idx="14">
                  <c:v>SCBRMP</c:v>
                </c:pt>
                <c:pt idx="15">
                  <c:v>UGIIP-II</c:v>
                </c:pt>
                <c:pt idx="16">
                  <c:v>UPPRP</c:v>
                </c:pt>
              </c:strCache>
            </c:strRef>
          </c:cat>
          <c:val>
            <c:numRef>
              <c:f>'Graph 12-13'!$X$4:$X$20</c:f>
              <c:numCache>
                <c:formatCode>General</c:formatCode>
                <c:ptCount val="17"/>
                <c:pt idx="0">
                  <c:v>2054</c:v>
                </c:pt>
                <c:pt idx="1">
                  <c:v>115</c:v>
                </c:pt>
                <c:pt idx="2">
                  <c:v>136</c:v>
                </c:pt>
                <c:pt idx="3">
                  <c:v>310</c:v>
                </c:pt>
                <c:pt idx="4">
                  <c:v>2272</c:v>
                </c:pt>
                <c:pt idx="5">
                  <c:v>9380</c:v>
                </c:pt>
                <c:pt idx="6">
                  <c:v>31987</c:v>
                </c:pt>
                <c:pt idx="7">
                  <c:v>1400</c:v>
                </c:pt>
                <c:pt idx="8">
                  <c:v>2596</c:v>
                </c:pt>
                <c:pt idx="9">
                  <c:v>10412</c:v>
                </c:pt>
                <c:pt idx="10">
                  <c:v>102</c:v>
                </c:pt>
                <c:pt idx="11">
                  <c:v>3083</c:v>
                </c:pt>
                <c:pt idx="12">
                  <c:v>259</c:v>
                </c:pt>
                <c:pt idx="13">
                  <c:v>18253</c:v>
                </c:pt>
                <c:pt idx="14">
                  <c:v>4523</c:v>
                </c:pt>
                <c:pt idx="15">
                  <c:v>847</c:v>
                </c:pt>
                <c:pt idx="16">
                  <c:v>14430</c:v>
                </c:pt>
              </c:numCache>
            </c:numRef>
          </c:val>
        </c:ser>
        <c:dLbls>
          <c:showVal val="1"/>
        </c:dLbls>
        <c:axId val="98852864"/>
        <c:axId val="98854400"/>
      </c:barChart>
      <c:catAx>
        <c:axId val="98852864"/>
        <c:scaling>
          <c:orientation val="minMax"/>
        </c:scaling>
        <c:axPos val="b"/>
        <c:majorTickMark val="none"/>
        <c:tickLblPos val="nextTo"/>
        <c:crossAx val="98854400"/>
        <c:crosses val="autoZero"/>
        <c:auto val="1"/>
        <c:lblAlgn val="ctr"/>
        <c:lblOffset val="100"/>
      </c:catAx>
      <c:valAx>
        <c:axId val="98854400"/>
        <c:scaling>
          <c:orientation val="minMax"/>
        </c:scaling>
        <c:delete val="1"/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0000FF"/>
                    </a:solidFill>
                    <a:latin typeface="Arial Narrow" pitchFamily="34" charset="0"/>
                  </a:defRPr>
                </a:pPr>
                <a:r>
                  <a:rPr lang="en-US">
                    <a:solidFill>
                      <a:srgbClr val="0000FF"/>
                    </a:solidFill>
                    <a:latin typeface="Arial Narrow" pitchFamily="34" charset="0"/>
                  </a:rPr>
                  <a:t>Nos. of </a:t>
                </a:r>
                <a:r>
                  <a:rPr lang="en-US" sz="1000" b="1" i="0" u="none" strike="noStrike" kern="1200" baseline="0">
                    <a:solidFill>
                      <a:srgbClr val="0000FF"/>
                    </a:solidFill>
                    <a:latin typeface="Arial Narrow" pitchFamily="34" charset="0"/>
                    <a:ea typeface="+mn-ea"/>
                    <a:cs typeface="+mn-cs"/>
                  </a:rPr>
                  <a:t>Participants</a:t>
                </a:r>
              </a:p>
            </c:rich>
          </c:tx>
          <c:layout>
            <c:manualLayout>
              <c:xMode val="edge"/>
              <c:yMode val="edge"/>
              <c:x val="2.2973688508943494E-2"/>
              <c:y val="0.31016968811923085"/>
            </c:manualLayout>
          </c:layout>
        </c:title>
        <c:numFmt formatCode="General" sourceLinked="1"/>
        <c:tickLblPos val="nextTo"/>
        <c:crossAx val="98852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7042108571031447"/>
          <c:y val="7.5640044658140393E-2"/>
          <c:w val="0.63130730009234459"/>
          <c:h val="7.3340073783014575E-2"/>
        </c:manualLayout>
      </c:layout>
    </c:legend>
    <c:plotVisOnly val="1"/>
  </c:chart>
  <c:printSettings>
    <c:headerFooter/>
    <c:pageMargins b="0.8" l="1" r="1" t="0.8" header="0.4" footer="0.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eg"/><Relationship Id="rId1" Type="http://schemas.openxmlformats.org/officeDocument/2006/relationships/image" Target="../media/image8.jpeg"/><Relationship Id="rId6" Type="http://schemas.openxmlformats.org/officeDocument/2006/relationships/image" Target="../media/image13.gif"/><Relationship Id="rId5" Type="http://schemas.openxmlformats.org/officeDocument/2006/relationships/image" Target="../media/image12.jpeg"/><Relationship Id="rId4" Type="http://schemas.openxmlformats.org/officeDocument/2006/relationships/image" Target="../media/image11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371475</xdr:colOff>
      <xdr:row>7</xdr:row>
      <xdr:rowOff>95250</xdr:rowOff>
    </xdr:to>
    <xdr:grpSp>
      <xdr:nvGrpSpPr>
        <xdr:cNvPr id="19" name="Group 18"/>
        <xdr:cNvGrpSpPr/>
      </xdr:nvGrpSpPr>
      <xdr:grpSpPr>
        <a:xfrm>
          <a:off x="0" y="0"/>
          <a:ext cx="9171051" cy="6913626"/>
          <a:chOff x="0" y="0"/>
          <a:chExt cx="8626475" cy="7127875"/>
        </a:xfrm>
      </xdr:grpSpPr>
      <xdr:grpSp>
        <xdr:nvGrpSpPr>
          <xdr:cNvPr id="11266" name="Group 4322"/>
          <xdr:cNvGrpSpPr>
            <a:grpSpLocks/>
          </xdr:cNvGrpSpPr>
        </xdr:nvGrpSpPr>
        <xdr:grpSpPr bwMode="auto">
          <a:xfrm>
            <a:off x="0" y="0"/>
            <a:ext cx="8626475" cy="7127875"/>
            <a:chOff x="720" y="750"/>
            <a:chExt cx="14368" cy="10166"/>
          </a:xfrm>
        </xdr:grpSpPr>
        <xdr:sp macro="" textlink="">
          <xdr:nvSpPr>
            <xdr:cNvPr id="32" name="Text Box 4323"/>
            <xdr:cNvSpPr txBox="1">
              <a:spLocks noChangeArrowheads="1"/>
            </xdr:cNvSpPr>
          </xdr:nvSpPr>
          <xdr:spPr bwMode="auto">
            <a:xfrm>
              <a:off x="720" y="750"/>
              <a:ext cx="14368" cy="10166"/>
            </a:xfrm>
            <a:prstGeom prst="rect">
              <a:avLst/>
            </a:prstGeom>
            <a:solidFill>
              <a:schemeClr val="accent2">
                <a:lumMod val="75000"/>
              </a:schemeClr>
            </a:solidFill>
            <a:ln w="12700">
              <a:solidFill>
                <a:srgbClr val="8064A2"/>
              </a:solidFill>
              <a:miter lim="800000"/>
              <a:headEnd/>
              <a:tailEnd/>
            </a:ln>
            <a:effectLst>
              <a:outerShdw dist="28398" dir="3806097" algn="ctr" rotWithShape="0">
                <a:srgbClr val="3F3151"/>
              </a:outerShdw>
            </a:effectLst>
          </xdr:spPr>
          <xdr:txBody>
            <a:bodyPr vertOverflow="clip" wrap="square" lIns="91440" tIns="45720" rIns="91440" bIns="45720" anchor="ctr" upright="1"/>
            <a:lstStyle/>
            <a:p>
              <a:pPr algn="ctr" rtl="1">
                <a:defRPr sz="1000"/>
              </a:pPr>
              <a:endParaRPr lang="en-US" sz="1100" b="0" i="0" strike="noStrike">
                <a:solidFill>
                  <a:srgbClr val="000000"/>
                </a:solidFill>
                <a:latin typeface="Times New Roman"/>
              </a:endParaRPr>
            </a:p>
            <a:p>
              <a:pPr algn="ctr" rtl="1">
                <a:defRPr sz="1000"/>
              </a:pPr>
              <a:endParaRPr lang="en-US" sz="1100" b="0" i="0" strike="noStrike">
                <a:solidFill>
                  <a:srgbClr val="000000"/>
                </a:solidFill>
                <a:latin typeface="Times New Roman"/>
              </a:endParaRPr>
            </a:p>
          </xdr:txBody>
        </xdr:sp>
        <xdr:sp macro="" textlink="">
          <xdr:nvSpPr>
            <xdr:cNvPr id="11279" name="Rectangle 4324"/>
            <xdr:cNvSpPr>
              <a:spLocks noChangeArrowheads="1"/>
            </xdr:cNvSpPr>
          </xdr:nvSpPr>
          <xdr:spPr bwMode="auto">
            <a:xfrm>
              <a:off x="720" y="8008"/>
              <a:ext cx="14368" cy="2908"/>
            </a:xfrm>
            <a:prstGeom prst="rect">
              <a:avLst/>
            </a:prstGeom>
            <a:solidFill>
              <a:schemeClr val="accent2">
                <a:lumMod val="75000"/>
                <a:alpha val="63921"/>
              </a:schemeClr>
            </a:solidFill>
            <a:ln w="3175">
              <a:noFill/>
              <a:miter lim="800000"/>
              <a:headEnd/>
              <a:tailEnd/>
            </a:ln>
          </xdr:spPr>
        </xdr:sp>
      </xdr:grpSp>
      <xdr:grpSp>
        <xdr:nvGrpSpPr>
          <xdr:cNvPr id="18" name="Group 17"/>
          <xdr:cNvGrpSpPr/>
        </xdr:nvGrpSpPr>
        <xdr:grpSpPr>
          <a:xfrm>
            <a:off x="57150" y="76200"/>
            <a:ext cx="8512175" cy="6499225"/>
            <a:chOff x="57150" y="76200"/>
            <a:chExt cx="8512175" cy="6499225"/>
          </a:xfrm>
        </xdr:grpSpPr>
        <xdr:grpSp>
          <xdr:nvGrpSpPr>
            <xdr:cNvPr id="17" name="Group 16"/>
            <xdr:cNvGrpSpPr/>
          </xdr:nvGrpSpPr>
          <xdr:grpSpPr>
            <a:xfrm>
              <a:off x="258656" y="76200"/>
              <a:ext cx="7603678" cy="3564091"/>
              <a:chOff x="258656" y="76200"/>
              <a:chExt cx="7603678" cy="3564091"/>
            </a:xfrm>
          </xdr:grpSpPr>
          <xdr:sp macro="" textlink="">
            <xdr:nvSpPr>
              <xdr:cNvPr id="22" name="Rectangle 21"/>
              <xdr:cNvSpPr/>
            </xdr:nvSpPr>
            <xdr:spPr bwMode="auto">
              <a:xfrm>
                <a:off x="924393" y="676568"/>
                <a:ext cx="6937941" cy="705194"/>
              </a:xfrm>
              <a:prstGeom prst="rect">
                <a:avLst/>
              </a:prstGeom>
              <a:noFill/>
            </xdr:spPr>
            <xdr:txBody>
              <a:bodyPr wrap="square" lIns="91440" tIns="45720" rIns="91440" bIns="45720">
                <a:noAutofit/>
              </a:bodyPr>
              <a:lstStyle/>
              <a:p>
                <a:pPr algn="ctr"/>
                <a:r>
                  <a:rPr lang="en-US" sz="27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Local Government Engineering Department</a:t>
                </a:r>
              </a:p>
            </xdr:txBody>
          </xdr:sp>
          <xdr:sp macro="" textlink="">
            <xdr:nvSpPr>
              <xdr:cNvPr id="23" name="Rectangle 22"/>
              <xdr:cNvSpPr/>
            </xdr:nvSpPr>
            <xdr:spPr bwMode="auto">
              <a:xfrm>
                <a:off x="990378" y="76200"/>
                <a:ext cx="1602513" cy="972025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3">
                  <a:shade val="50000"/>
                </a:schemeClr>
              </a:lnRef>
              <a:fillRef idx="1">
                <a:schemeClr val="accent3"/>
              </a:fillRef>
              <a:effectRef idx="0">
                <a:schemeClr val="accent3"/>
              </a:effectRef>
              <a:fontRef idx="minor">
                <a:schemeClr val="lt1"/>
              </a:fontRef>
            </xdr:style>
            <xdr:txBody>
              <a:bodyPr wrap="none" lIns="91440" tIns="45720" rIns="91440" bIns="45720">
                <a:noAutofit/>
              </a:bodyPr>
              <a:lstStyle/>
              <a:p>
                <a:pPr algn="ctr"/>
                <a:r>
                  <a:rPr lang="en-US" sz="5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rPr>
                  <a:t>LGED</a:t>
                </a:r>
              </a:p>
            </xdr:txBody>
          </xdr:sp>
          <xdr:sp macro="" textlink="">
            <xdr:nvSpPr>
              <xdr:cNvPr id="24" name="Rectangle 23"/>
              <xdr:cNvSpPr/>
            </xdr:nvSpPr>
            <xdr:spPr bwMode="auto">
              <a:xfrm>
                <a:off x="594463" y="2220373"/>
                <a:ext cx="7126472" cy="705194"/>
              </a:xfrm>
              <a:prstGeom prst="rect">
                <a:avLst/>
              </a:prstGeom>
              <a:noFill/>
              <a:scene3d>
                <a:camera prst="orthographicFront"/>
                <a:lightRig rig="threePt" dir="t"/>
              </a:scene3d>
              <a:sp3d>
                <a:bevelT w="165100" prst="coolSlant"/>
                <a:bevelB prst="slope"/>
              </a:sp3d>
            </xdr:spPr>
            <xdr:txBody>
              <a:bodyPr wrap="square" lIns="91440" tIns="0" rIns="0" bIns="0" anchor="ctr" anchorCtr="0">
                <a:noAutofit/>
              </a:bodyPr>
              <a:lstStyle/>
              <a:p>
                <a:pPr algn="ctr"/>
                <a:r>
                  <a:rPr lang="en-US" sz="4800" b="1" cap="none" spc="0">
                    <a:ln w="12700">
                      <a:solidFill>
                        <a:schemeClr val="tx2">
                          <a:satMod val="155000"/>
                        </a:schemeClr>
                      </a:solidFill>
                      <a:prstDash val="solid"/>
                    </a:ln>
                    <a:solidFill>
                      <a:schemeClr val="bg2">
                        <a:tint val="85000"/>
                        <a:satMod val="155000"/>
                      </a:schemeClr>
                    </a:solidFill>
                    <a:effectLst/>
                    <a:latin typeface="Times New Roman" pitchFamily="18" charset="0"/>
                    <a:cs typeface="Times New Roman" pitchFamily="18" charset="0"/>
                  </a:rPr>
                  <a:t>TRAINING</a:t>
                </a:r>
                <a:r>
                  <a:rPr lang="en-US" sz="4400" b="1" cap="none" spc="0">
                    <a:ln w="12700">
                      <a:solidFill>
                        <a:schemeClr val="tx2">
                          <a:satMod val="155000"/>
                        </a:schemeClr>
                      </a:solidFill>
                      <a:prstDash val="solid"/>
                    </a:ln>
                    <a:solidFill>
                      <a:schemeClr val="bg2">
                        <a:tint val="85000"/>
                        <a:satMod val="155000"/>
                      </a:schemeClr>
                    </a:solidFill>
                    <a:effectLst/>
                    <a:latin typeface="Times New Roman" pitchFamily="18" charset="0"/>
                    <a:cs typeface="Times New Roman" pitchFamily="18" charset="0"/>
                  </a:rPr>
                  <a:t> CALENDAR </a:t>
                </a:r>
                <a:endParaRPr lang="en-US" sz="4000" b="1" cap="none" spc="0">
                  <a:ln w="12700">
                    <a:solidFill>
                      <a:schemeClr val="tx2">
                        <a:satMod val="155000"/>
                      </a:schemeClr>
                    </a:solidFill>
                    <a:prstDash val="solid"/>
                  </a:ln>
                  <a:solidFill>
                    <a:schemeClr val="bg2">
                      <a:tint val="85000"/>
                      <a:satMod val="155000"/>
                    </a:schemeClr>
                  </a:solidFill>
                  <a:effectLst/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25" name="Rectangle 24"/>
              <xdr:cNvSpPr/>
            </xdr:nvSpPr>
            <xdr:spPr bwMode="auto">
              <a:xfrm>
                <a:off x="2574039" y="2992274"/>
                <a:ext cx="2535742" cy="648017"/>
              </a:xfrm>
              <a:prstGeom prst="rect">
                <a:avLst/>
              </a:prstGeom>
              <a:noFill/>
            </xdr:spPr>
            <xdr:txBody>
              <a:bodyPr wrap="none" lIns="91440" tIns="0" rIns="91440" bIns="0" anchor="ctr" anchorCtr="0">
                <a:noAutofit/>
              </a:bodyPr>
              <a:lstStyle/>
              <a:p>
                <a:pPr algn="ctr"/>
                <a:r>
                  <a:rPr lang="en-US" sz="4400" b="1" i="0" cap="none" spc="0">
                    <a:ln w="17780" cmpd="sng">
                      <a:solidFill>
                        <a:schemeClr val="accent1">
                          <a:tint val="3000"/>
                        </a:schemeClr>
                      </a:solidFill>
                      <a:prstDash val="solid"/>
                      <a:miter lim="800000"/>
                    </a:ln>
                    <a:solidFill>
                      <a:srgbClr val="0070C0"/>
                    </a:solidFill>
                    <a:effectLst>
                      <a:outerShdw blurRad="55000" dist="50800" dir="5400000" algn="tl">
                        <a:srgbClr val="000000">
                          <a:alpha val="33000"/>
                        </a:srgbClr>
                      </a:outerShdw>
                    </a:effectLst>
                    <a:latin typeface="Times New Roman" pitchFamily="18" charset="0"/>
                    <a:cs typeface="Times New Roman" pitchFamily="18" charset="0"/>
                  </a:rPr>
                  <a:t>2013-2014</a:t>
                </a:r>
              </a:p>
            </xdr:txBody>
          </xdr:sp>
          <xdr:pic>
            <xdr:nvPicPr>
              <xdr:cNvPr id="11272" name="Picture 25" descr="C:\Users\user\Desktop\Training Celander\bangladesh gov0.jpg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/>
              <a:srcRect/>
              <a:stretch>
                <a:fillRect/>
              </a:stretch>
            </xdr:blipFill>
            <xdr:spPr bwMode="auto">
              <a:xfrm>
                <a:off x="258656" y="402840"/>
                <a:ext cx="677969" cy="65753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</xdr:pic>
        </xdr:grpSp>
        <xdr:grpSp>
          <xdr:nvGrpSpPr>
            <xdr:cNvPr id="16" name="Group 15"/>
            <xdr:cNvGrpSpPr/>
          </xdr:nvGrpSpPr>
          <xdr:grpSpPr>
            <a:xfrm>
              <a:off x="57150" y="5270678"/>
              <a:ext cx="8512175" cy="1304747"/>
              <a:chOff x="57150" y="5270678"/>
              <a:chExt cx="8512175" cy="1304747"/>
            </a:xfrm>
          </xdr:grpSpPr>
          <xdr:pic>
            <xdr:nvPicPr>
              <xdr:cNvPr id="27" name="Picture 26" descr="E:\Desktop Backup\Pic for Trainning Calaender\DSC05537.jpg"/>
              <xdr:cNvPicPr/>
            </xdr:nvPicPr>
            <xdr:blipFill>
              <a:blip xmlns:r="http://schemas.openxmlformats.org/officeDocument/2006/relationships" r:embed="rId2" cstate="print">
                <a:lum bright="-10000" contrast="10000"/>
              </a:blip>
              <a:srcRect/>
              <a:stretch>
                <a:fillRect/>
              </a:stretch>
            </xdr:blipFill>
            <xdr:spPr bwMode="auto">
              <a:xfrm>
                <a:off x="57150" y="5270678"/>
                <a:ext cx="1626066" cy="1269330"/>
              </a:xfrm>
              <a:prstGeom prst="round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</xdr:pic>
          <xdr:pic>
            <xdr:nvPicPr>
              <xdr:cNvPr id="28" name="Picture 27" descr="E:\Desktop Backup\Pic for Trainning Calaender\DSC00725.jpg"/>
              <xdr:cNvPicPr/>
            </xdr:nvPicPr>
            <xdr:blipFill>
              <a:blip xmlns:r="http://schemas.openxmlformats.org/officeDocument/2006/relationships" r:embed="rId3" cstate="print"/>
              <a:srcRect/>
              <a:stretch>
                <a:fillRect/>
              </a:stretch>
            </xdr:blipFill>
            <xdr:spPr bwMode="auto">
              <a:xfrm>
                <a:off x="1774827" y="5276413"/>
                <a:ext cx="1630020" cy="1269330"/>
              </a:xfrm>
              <a:prstGeom prst="round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</xdr:pic>
          <xdr:pic>
            <xdr:nvPicPr>
              <xdr:cNvPr id="29" name="Picture 28" descr="D:\Picture on Training Camera\DSC00767.JPG"/>
              <xdr:cNvPicPr/>
            </xdr:nvPicPr>
            <xdr:blipFill>
              <a:blip xmlns:r="http://schemas.openxmlformats.org/officeDocument/2006/relationships" r:embed="rId4" cstate="print"/>
              <a:srcRect/>
              <a:stretch>
                <a:fillRect/>
              </a:stretch>
            </xdr:blipFill>
            <xdr:spPr bwMode="auto">
              <a:xfrm>
                <a:off x="5231976" y="5304361"/>
                <a:ext cx="1626065" cy="1269330"/>
              </a:xfrm>
              <a:prstGeom prst="round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</xdr:pic>
          <xdr:pic>
            <xdr:nvPicPr>
              <xdr:cNvPr id="30" name="Picture 29" descr="E:\Desktop Backup\Pic for Trainning Calaender\DSC00510.jpg"/>
              <xdr:cNvPicPr/>
            </xdr:nvPicPr>
            <xdr:blipFill>
              <a:blip xmlns:r="http://schemas.openxmlformats.org/officeDocument/2006/relationships" r:embed="rId5" cstate="print"/>
              <a:srcRect/>
              <a:stretch>
                <a:fillRect/>
              </a:stretch>
            </xdr:blipFill>
            <xdr:spPr bwMode="auto">
              <a:xfrm>
                <a:off x="6943259" y="5299348"/>
                <a:ext cx="1626066" cy="1269330"/>
              </a:xfrm>
              <a:prstGeom prst="round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</xdr:pic>
          <xdr:pic>
            <xdr:nvPicPr>
              <xdr:cNvPr id="31" name="Picture 30" descr="C:\Users\user\Desktop\DSC00135.jpg"/>
              <xdr:cNvPicPr/>
            </xdr:nvPicPr>
            <xdr:blipFill>
              <a:blip xmlns:r="http://schemas.openxmlformats.org/officeDocument/2006/relationships" r:embed="rId6" cstate="print"/>
              <a:srcRect/>
              <a:stretch>
                <a:fillRect/>
              </a:stretch>
            </xdr:blipFill>
            <xdr:spPr bwMode="auto">
              <a:xfrm>
                <a:off x="3525659" y="5302849"/>
                <a:ext cx="1609715" cy="1272576"/>
              </a:xfrm>
              <a:prstGeom prst="round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</xdr:pic>
        </xdr:grp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485775</xdr:colOff>
      <xdr:row>8</xdr:row>
      <xdr:rowOff>38100</xdr:rowOff>
    </xdr:to>
    <xdr:grpSp>
      <xdr:nvGrpSpPr>
        <xdr:cNvPr id="13" name="Group 12"/>
        <xdr:cNvGrpSpPr/>
      </xdr:nvGrpSpPr>
      <xdr:grpSpPr>
        <a:xfrm>
          <a:off x="0" y="0"/>
          <a:ext cx="8445954" cy="7222671"/>
          <a:chOff x="0" y="0"/>
          <a:chExt cx="8429625" cy="7277100"/>
        </a:xfrm>
      </xdr:grpSpPr>
      <xdr:grpSp>
        <xdr:nvGrpSpPr>
          <xdr:cNvPr id="14337" name="Group 4322"/>
          <xdr:cNvGrpSpPr>
            <a:grpSpLocks/>
          </xdr:cNvGrpSpPr>
        </xdr:nvGrpSpPr>
        <xdr:grpSpPr bwMode="auto">
          <a:xfrm>
            <a:off x="0" y="0"/>
            <a:ext cx="8429625" cy="7277100"/>
            <a:chOff x="720" y="750"/>
            <a:chExt cx="14368" cy="10166"/>
          </a:xfrm>
        </xdr:grpSpPr>
        <xdr:sp macro="" textlink="">
          <xdr:nvSpPr>
            <xdr:cNvPr id="26" name="Text Box 4323"/>
            <xdr:cNvSpPr txBox="1">
              <a:spLocks noChangeArrowheads="1"/>
            </xdr:cNvSpPr>
          </xdr:nvSpPr>
          <xdr:spPr bwMode="auto">
            <a:xfrm>
              <a:off x="720" y="750"/>
              <a:ext cx="14368" cy="10166"/>
            </a:xfrm>
            <a:prstGeom prst="rect">
              <a:avLst/>
            </a:prstGeom>
            <a:solidFill>
              <a:schemeClr val="accent6">
                <a:lumMod val="60000"/>
                <a:lumOff val="40000"/>
              </a:schemeClr>
            </a:solidFill>
            <a:ln w="12700">
              <a:solidFill>
                <a:srgbClr val="8064A2"/>
              </a:solidFill>
              <a:miter lim="800000"/>
              <a:headEnd/>
              <a:tailEnd/>
            </a:ln>
            <a:effectLst>
              <a:outerShdw dist="28398" dir="3806097" algn="ctr" rotWithShape="0">
                <a:srgbClr val="3F3151"/>
              </a:outerShdw>
            </a:effectLst>
          </xdr:spPr>
          <xdr:txBody>
            <a:bodyPr vertOverflow="clip" wrap="square" lIns="91440" tIns="45720" rIns="91440" bIns="45720" anchor="t" upright="1"/>
            <a:lstStyle/>
            <a:p>
              <a:pPr algn="l" rtl="1">
                <a:defRPr sz="1000"/>
              </a:pPr>
              <a:endParaRPr lang="en-US" sz="1100" b="0" i="0" strike="noStrike">
                <a:solidFill>
                  <a:srgbClr val="000000"/>
                </a:solidFill>
                <a:latin typeface="Times New Roman"/>
              </a:endParaRPr>
            </a:p>
            <a:p>
              <a:pPr algn="l" rtl="1">
                <a:defRPr sz="1000"/>
              </a:pPr>
              <a:endParaRPr lang="en-US" sz="1100" b="0" i="0" strike="noStrike">
                <a:solidFill>
                  <a:srgbClr val="000000"/>
                </a:solidFill>
                <a:latin typeface="Times New Roman"/>
              </a:endParaRPr>
            </a:p>
          </xdr:txBody>
        </xdr:sp>
        <xdr:sp macro="" textlink="">
          <xdr:nvSpPr>
            <xdr:cNvPr id="14346" name="Rectangle 4324"/>
            <xdr:cNvSpPr>
              <a:spLocks noChangeArrowheads="1"/>
            </xdr:cNvSpPr>
          </xdr:nvSpPr>
          <xdr:spPr bwMode="auto">
            <a:xfrm>
              <a:off x="720" y="8008"/>
              <a:ext cx="14368" cy="2908"/>
            </a:xfrm>
            <a:prstGeom prst="rect">
              <a:avLst/>
            </a:prstGeom>
            <a:solidFill>
              <a:srgbClr val="FF9900">
                <a:alpha val="63529"/>
              </a:srgbClr>
            </a:solidFill>
            <a:ln w="3175">
              <a:noFill/>
              <a:miter lim="800000"/>
              <a:headEnd/>
              <a:tailEnd/>
            </a:ln>
          </xdr:spPr>
        </xdr:sp>
      </xdr:grpSp>
      <xdr:grpSp>
        <xdr:nvGrpSpPr>
          <xdr:cNvPr id="12" name="Group 11"/>
          <xdr:cNvGrpSpPr/>
        </xdr:nvGrpSpPr>
        <xdr:grpSpPr>
          <a:xfrm>
            <a:off x="152400" y="253999"/>
            <a:ext cx="8086725" cy="6451601"/>
            <a:chOff x="152400" y="253999"/>
            <a:chExt cx="8086725" cy="6451601"/>
          </a:xfrm>
        </xdr:grpSpPr>
        <xdr:grpSp>
          <xdr:nvGrpSpPr>
            <xdr:cNvPr id="14338" name="Group 33"/>
            <xdr:cNvGrpSpPr>
              <a:grpSpLocks/>
            </xdr:cNvGrpSpPr>
          </xdr:nvGrpSpPr>
          <xdr:grpSpPr bwMode="auto">
            <a:xfrm>
              <a:off x="152400" y="5362575"/>
              <a:ext cx="8086725" cy="1343025"/>
              <a:chOff x="523880" y="5365750"/>
              <a:chExt cx="8136255" cy="1104900"/>
            </a:xfrm>
          </xdr:grpSpPr>
          <xdr:pic>
            <xdr:nvPicPr>
              <xdr:cNvPr id="15" name="Picture 14" descr="D:\Picture on Training Camera\DSC00698.JPG"/>
              <xdr:cNvPicPr/>
            </xdr:nvPicPr>
            <xdr:blipFill>
              <a:blip xmlns:r="http://schemas.openxmlformats.org/officeDocument/2006/relationships" r:embed="rId1" cstate="print"/>
              <a:srcRect/>
              <a:stretch>
                <a:fillRect/>
              </a:stretch>
            </xdr:blipFill>
            <xdr:spPr bwMode="auto">
              <a:xfrm>
                <a:off x="2174880" y="5365750"/>
                <a:ext cx="1554480" cy="1095375"/>
              </a:xfrm>
              <a:prstGeom prst="round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</xdr:pic>
          <xdr:pic>
            <xdr:nvPicPr>
              <xdr:cNvPr id="16" name="Picture 15" descr="D:\Picture on Training Camera\DSC00720.JPG"/>
              <xdr:cNvPicPr/>
            </xdr:nvPicPr>
            <xdr:blipFill>
              <a:blip xmlns:r="http://schemas.openxmlformats.org/officeDocument/2006/relationships" r:embed="rId2" cstate="print"/>
              <a:srcRect/>
              <a:stretch>
                <a:fillRect/>
              </a:stretch>
            </xdr:blipFill>
            <xdr:spPr bwMode="auto">
              <a:xfrm>
                <a:off x="3825880" y="5365750"/>
                <a:ext cx="1554480" cy="1095375"/>
              </a:xfrm>
              <a:prstGeom prst="round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</xdr:pic>
          <xdr:pic>
            <xdr:nvPicPr>
              <xdr:cNvPr id="17" name="Picture 16" descr="D:\Picture on Training Camera\DSC00770.JPG"/>
              <xdr:cNvPicPr/>
            </xdr:nvPicPr>
            <xdr:blipFill>
              <a:blip xmlns:r="http://schemas.openxmlformats.org/officeDocument/2006/relationships" r:embed="rId3" cstate="print"/>
              <a:srcRect/>
              <a:stretch>
                <a:fillRect/>
              </a:stretch>
            </xdr:blipFill>
            <xdr:spPr bwMode="auto">
              <a:xfrm>
                <a:off x="5476880" y="5365750"/>
                <a:ext cx="1554480" cy="1095375"/>
              </a:xfrm>
              <a:prstGeom prst="round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</xdr:pic>
          <xdr:pic>
            <xdr:nvPicPr>
              <xdr:cNvPr id="18" name="Picture 17" descr="D:\Picture on Training Camera\DSC00864.JPG"/>
              <xdr:cNvPicPr/>
            </xdr:nvPicPr>
            <xdr:blipFill>
              <a:blip xmlns:r="http://schemas.openxmlformats.org/officeDocument/2006/relationships" r:embed="rId4" cstate="print"/>
              <a:srcRect/>
              <a:stretch>
                <a:fillRect/>
              </a:stretch>
            </xdr:blipFill>
            <xdr:spPr bwMode="auto">
              <a:xfrm>
                <a:off x="523880" y="5365750"/>
                <a:ext cx="1554480" cy="1095375"/>
              </a:xfrm>
              <a:prstGeom prst="round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</xdr:pic>
          <xdr:pic>
            <xdr:nvPicPr>
              <xdr:cNvPr id="19" name="Picture 18" descr="D:\Picture on Training Camera\DSC00857.JPG"/>
              <xdr:cNvPicPr/>
            </xdr:nvPicPr>
            <xdr:blipFill>
              <a:blip xmlns:r="http://schemas.openxmlformats.org/officeDocument/2006/relationships" r:embed="rId5" cstate="print"/>
              <a:srcRect/>
              <a:stretch>
                <a:fillRect/>
              </a:stretch>
            </xdr:blipFill>
            <xdr:spPr bwMode="auto">
              <a:xfrm>
                <a:off x="7105655" y="5375275"/>
                <a:ext cx="1554480" cy="1095375"/>
              </a:xfrm>
              <a:prstGeom prst="round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</xdr:pic>
        </xdr:grpSp>
        <xdr:pic>
          <xdr:nvPicPr>
            <xdr:cNvPr id="37" name="Picture 36" descr="D:\Photo from My PC\lged_1.gif"/>
            <xdr:cNvPicPr/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673100" y="253999"/>
              <a:ext cx="6864350" cy="4238625"/>
            </a:xfrm>
            <a:prstGeom prst="ellipse">
              <a:avLst/>
            </a:prstGeom>
            <a:ln>
              <a:noFill/>
            </a:ln>
            <a:effectLst>
              <a:glow rad="101600">
                <a:srgbClr val="0066FF">
                  <a:alpha val="60000"/>
                </a:srgbClr>
              </a:glow>
              <a:softEdge rad="112500"/>
            </a:effectLst>
            <a:scene3d>
              <a:camera prst="orthographicFront"/>
              <a:lightRig rig="threePt" dir="t"/>
            </a:scene3d>
            <a:sp3d>
              <a:bevelT w="152400" h="50800" prst="softRound"/>
            </a:sp3d>
          </xdr:spPr>
        </xdr:pic>
      </xdr:grpSp>
    </xdr:grpSp>
    <xdr:clientData/>
  </xdr:twoCellAnchor>
  <xdr:twoCellAnchor>
    <xdr:from>
      <xdr:col>0</xdr:col>
      <xdr:colOff>0</xdr:colOff>
      <xdr:row>9</xdr:row>
      <xdr:rowOff>95250</xdr:rowOff>
    </xdr:from>
    <xdr:to>
      <xdr:col>13</xdr:col>
      <xdr:colOff>555625</xdr:colOff>
      <xdr:row>52</xdr:row>
      <xdr:rowOff>63500</xdr:rowOff>
    </xdr:to>
    <xdr:grpSp>
      <xdr:nvGrpSpPr>
        <xdr:cNvPr id="28" name="Group 27"/>
        <xdr:cNvGrpSpPr/>
      </xdr:nvGrpSpPr>
      <xdr:grpSpPr>
        <a:xfrm>
          <a:off x="0" y="7443107"/>
          <a:ext cx="8515804" cy="7098393"/>
          <a:chOff x="0" y="7443107"/>
          <a:chExt cx="8515804" cy="7098393"/>
        </a:xfrm>
      </xdr:grpSpPr>
      <xdr:sp macro="" textlink="">
        <xdr:nvSpPr>
          <xdr:cNvPr id="14" name="Text Box 4323"/>
          <xdr:cNvSpPr txBox="1">
            <a:spLocks noChangeArrowheads="1"/>
          </xdr:cNvSpPr>
        </xdr:nvSpPr>
        <xdr:spPr bwMode="auto">
          <a:xfrm>
            <a:off x="0" y="7443107"/>
            <a:ext cx="8515804" cy="7098393"/>
          </a:xfrm>
          <a:prstGeom prst="rect">
            <a:avLst/>
          </a:prstGeom>
          <a:solidFill>
            <a:srgbClr val="FFCC99"/>
          </a:solidFill>
          <a:ln w="12700">
            <a:solidFill>
              <a:srgbClr val="8064A2"/>
            </a:solidFill>
            <a:miter lim="800000"/>
            <a:headEnd/>
            <a:tailEnd/>
          </a:ln>
          <a:effectLst>
            <a:outerShdw dist="28398" dir="3806097" algn="ctr" rotWithShape="0">
              <a:srgbClr val="3F3151"/>
            </a:outerShdw>
          </a:effectLst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endParaRPr lang="en-US" sz="1100" b="0" i="0" strike="noStrike">
              <a:solidFill>
                <a:srgbClr val="000000"/>
              </a:solidFill>
              <a:latin typeface="Times New Roman"/>
            </a:endParaRPr>
          </a:p>
          <a:p>
            <a:r>
              <a:rPr lang="en-US" sz="300">
                <a:latin typeface="+mn-lt"/>
                <a:ea typeface="+mn-ea"/>
                <a:cs typeface="+mn-cs"/>
              </a:rPr>
              <a:t> </a:t>
            </a:r>
          </a:p>
          <a:p>
            <a:endParaRPr lang="en-US" sz="300">
              <a:latin typeface="+mn-lt"/>
              <a:ea typeface="+mn-ea"/>
              <a:cs typeface="+mn-cs"/>
            </a:endParaRPr>
          </a:p>
          <a:p>
            <a:endParaRPr lang="en-US" sz="300">
              <a:latin typeface="+mn-lt"/>
              <a:ea typeface="+mn-ea"/>
              <a:cs typeface="+mn-cs"/>
            </a:endParaRPr>
          </a:p>
          <a:p>
            <a:endParaRPr lang="en-US" sz="300">
              <a:latin typeface="+mn-lt"/>
              <a:ea typeface="+mn-ea"/>
              <a:cs typeface="+mn-cs"/>
            </a:endParaRPr>
          </a:p>
          <a:p>
            <a:endParaRPr lang="en-US" sz="300">
              <a:latin typeface="+mn-lt"/>
              <a:ea typeface="+mn-ea"/>
              <a:cs typeface="+mn-cs"/>
            </a:endParaRPr>
          </a:p>
          <a:p>
            <a:endParaRPr lang="en-US" sz="300">
              <a:latin typeface="+mn-lt"/>
              <a:ea typeface="+mn-ea"/>
              <a:cs typeface="+mn-cs"/>
            </a:endParaRPr>
          </a:p>
          <a:p>
            <a:endParaRPr lang="en-US" sz="300">
              <a:latin typeface="+mn-lt"/>
              <a:ea typeface="+mn-ea"/>
              <a:cs typeface="+mn-cs"/>
            </a:endParaRPr>
          </a:p>
          <a:p>
            <a:endParaRPr lang="en-US" sz="300">
              <a:latin typeface="+mn-lt"/>
              <a:ea typeface="+mn-ea"/>
              <a:cs typeface="+mn-cs"/>
            </a:endParaRPr>
          </a:p>
          <a:p>
            <a:endParaRPr lang="en-US" sz="300">
              <a:latin typeface="+mn-lt"/>
              <a:ea typeface="+mn-ea"/>
              <a:cs typeface="+mn-cs"/>
            </a:endParaRPr>
          </a:p>
          <a:p>
            <a:endParaRPr lang="en-US" sz="300">
              <a:latin typeface="+mn-lt"/>
              <a:ea typeface="+mn-ea"/>
              <a:cs typeface="+mn-cs"/>
            </a:endParaRPr>
          </a:p>
          <a:p>
            <a:endParaRPr lang="en-US" sz="300">
              <a:latin typeface="+mn-lt"/>
              <a:ea typeface="+mn-ea"/>
              <a:cs typeface="+mn-cs"/>
            </a:endParaRPr>
          </a:p>
          <a:p>
            <a:endParaRPr lang="en-US" sz="300">
              <a:latin typeface="+mn-lt"/>
              <a:ea typeface="+mn-ea"/>
              <a:cs typeface="+mn-cs"/>
            </a:endParaRPr>
          </a:p>
          <a:p>
            <a:endParaRPr lang="en-US" sz="1100">
              <a:latin typeface="+mn-lt"/>
              <a:ea typeface="+mn-ea"/>
              <a:cs typeface="+mn-cs"/>
            </a:endParaRPr>
          </a:p>
          <a:p>
            <a:endParaRPr lang="en-US" sz="1100">
              <a:latin typeface="+mn-lt"/>
              <a:ea typeface="+mn-ea"/>
              <a:cs typeface="+mn-cs"/>
            </a:endParaRPr>
          </a:p>
          <a:p>
            <a:endParaRPr lang="en-US" sz="1100">
              <a:latin typeface="+mn-lt"/>
              <a:ea typeface="+mn-ea"/>
              <a:cs typeface="+mn-cs"/>
            </a:endParaRPr>
          </a:p>
          <a:p>
            <a:endParaRPr lang="en-US" sz="1100">
              <a:latin typeface="+mn-lt"/>
              <a:ea typeface="+mn-ea"/>
              <a:cs typeface="+mn-cs"/>
            </a:endParaRPr>
          </a:p>
          <a:p>
            <a:endParaRPr lang="en-US" sz="1100">
              <a:latin typeface="+mn-lt"/>
              <a:ea typeface="+mn-ea"/>
              <a:cs typeface="+mn-cs"/>
            </a:endParaRPr>
          </a:p>
          <a:p>
            <a:pPr marL="0" marR="0" indent="0" algn="l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200" b="1">
              <a:solidFill>
                <a:srgbClr val="00FF99"/>
              </a:solidFill>
              <a:latin typeface="Arial" pitchFamily="34" charset="0"/>
              <a:ea typeface="+mn-ea"/>
              <a:cs typeface="+mn-cs"/>
            </a:endParaRPr>
          </a:p>
          <a:p>
            <a:pPr marL="0" marR="0" indent="0" algn="l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200" b="1">
              <a:solidFill>
                <a:srgbClr val="00FF99"/>
              </a:solidFill>
              <a:latin typeface="Arial" pitchFamily="34" charset="0"/>
              <a:ea typeface="+mn-ea"/>
              <a:cs typeface="+mn-cs"/>
            </a:endParaRPr>
          </a:p>
          <a:p>
            <a:pPr marL="0" marR="0" indent="0" algn="l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200">
              <a:solidFill>
                <a:srgbClr val="00FF99"/>
              </a:solidFill>
              <a:latin typeface="Arial" pitchFamily="34" charset="0"/>
              <a:ea typeface="+mn-ea"/>
              <a:cs typeface="+mn-cs"/>
            </a:endParaRPr>
          </a:p>
          <a:p>
            <a:pPr algn="l" rtl="1">
              <a:defRPr sz="1000"/>
            </a:pPr>
            <a:endParaRPr lang="en-US" sz="1000" b="0" i="0" strike="noStrike">
              <a:solidFill>
                <a:srgbClr val="000000"/>
              </a:solidFill>
              <a:latin typeface="Arial" pitchFamily="34" charset="0"/>
            </a:endParaRPr>
          </a:p>
          <a:p>
            <a:pPr algn="l" rtl="1">
              <a:defRPr sz="1000"/>
            </a:pPr>
            <a:endParaRPr lang="en-US" sz="1000" b="0" i="0" strike="noStrike">
              <a:solidFill>
                <a:srgbClr val="000000"/>
              </a:solidFill>
              <a:latin typeface="Arial" pitchFamily="34" charset="0"/>
            </a:endParaRPr>
          </a:p>
        </xdr:txBody>
      </xdr:sp>
      <xdr:grpSp>
        <xdr:nvGrpSpPr>
          <xdr:cNvPr id="24" name="Group 23"/>
          <xdr:cNvGrpSpPr/>
        </xdr:nvGrpSpPr>
        <xdr:grpSpPr>
          <a:xfrm>
            <a:off x="0" y="7559342"/>
            <a:ext cx="8453225" cy="6427997"/>
            <a:chOff x="0" y="7544710"/>
            <a:chExt cx="8418106" cy="6371315"/>
          </a:xfrm>
        </xdr:grpSpPr>
        <xdr:sp macro="" textlink="">
          <xdr:nvSpPr>
            <xdr:cNvPr id="20" name="TextBox 19"/>
            <xdr:cNvSpPr txBox="1"/>
          </xdr:nvSpPr>
          <xdr:spPr bwMode="auto">
            <a:xfrm>
              <a:off x="0" y="7544710"/>
              <a:ext cx="8375155" cy="19612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no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b="1" u="sng">
                  <a:solidFill>
                    <a:sysClr val="windowText" lastClr="000000"/>
                  </a:solidFill>
                  <a:latin typeface="Arial" pitchFamily="34" charset="0"/>
                  <a:ea typeface="+mn-ea"/>
                  <a:cs typeface="+mn-cs"/>
                </a:rPr>
                <a:t>For Information, Please Contact:</a:t>
              </a: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b="1" u="sng">
                  <a:solidFill>
                    <a:sysClr val="windowText" lastClr="000000"/>
                  </a:solidFill>
                  <a:latin typeface="Arial" pitchFamily="34" charset="0"/>
                  <a:ea typeface="+mn-ea"/>
                  <a:cs typeface="+mn-cs"/>
                </a:rPr>
                <a:t>Head Quarter </a:t>
              </a:r>
              <a:r>
                <a:rPr lang="en-US" sz="1100" b="1" u="none">
                  <a:solidFill>
                    <a:sysClr val="windowText" lastClr="000000"/>
                  </a:solidFill>
                  <a:latin typeface="Arial" pitchFamily="34" charset="0"/>
                  <a:ea typeface="+mn-ea"/>
                  <a:cs typeface="+mn-cs"/>
                </a:rPr>
                <a:t>:</a:t>
              </a:r>
              <a:endParaRPr lang="en-US" sz="1100" b="1" u="none">
                <a:solidFill>
                  <a:sysClr val="windowText" lastClr="000000"/>
                </a:solidFill>
                <a:latin typeface="Arial" pitchFamily="34" charset="0"/>
              </a:endParaRPr>
            </a:p>
            <a:p>
              <a:endParaRPr lang="en-US" sz="500" b="1">
                <a:solidFill>
                  <a:schemeClr val="tx1"/>
                </a:solidFill>
                <a:latin typeface="Arial" pitchFamily="34" charset="0"/>
                <a:ea typeface="+mn-ea"/>
                <a:cs typeface="+mn-cs"/>
              </a:endParaRPr>
            </a:p>
            <a:p>
              <a:r>
                <a:rPr lang="en-US" sz="1000" b="1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Superintending Engineer (Training)         	Training Engineer (Executive Engineer-1)	Training Engineer (Executive Engineer-3)</a:t>
              </a:r>
            </a:p>
            <a:p>
              <a:r>
                <a:rPr lang="en-US" sz="1000" b="1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Central Training Unit</a:t>
              </a:r>
              <a:r>
                <a:rPr lang="en-US" sz="1000" b="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	</a:t>
              </a:r>
              <a:r>
                <a:rPr lang="en-US" sz="1000" b="0" baseline="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                         	</a:t>
              </a:r>
              <a:r>
                <a:rPr lang="en-US" sz="1000" b="1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Central Training Unit</a:t>
              </a:r>
              <a:r>
                <a:rPr lang="en-US" sz="1000" b="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		</a:t>
              </a:r>
              <a:r>
                <a:rPr lang="en-US" sz="1000" b="1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Central Training Unit</a:t>
              </a:r>
            </a:p>
            <a:p>
              <a:r>
                <a:rPr lang="en-US" sz="1000" b="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Local Government Engineering Department       	Local Government Engineering Department	Local Government Engineering Department</a:t>
              </a:r>
              <a:endParaRPr lang="en-US" sz="1000">
                <a:solidFill>
                  <a:schemeClr val="tx1"/>
                </a:solidFill>
                <a:latin typeface="Arial" pitchFamily="34" charset="0"/>
                <a:ea typeface="+mn-ea"/>
                <a:cs typeface="+mn-cs"/>
              </a:endParaRPr>
            </a:p>
            <a:p>
              <a:r>
                <a:rPr lang="es-ES" sz="1000" b="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Agargaon, Sher-e-Bangla Nagar, Dhaka-1207.  	Agargaon, Sher-e-Bangla Nagar, Dhaka-1207.	</a:t>
              </a:r>
              <a:r>
                <a:rPr lang="en-US" sz="1000" b="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Agargaon, Sher-e-Bangla Nagar, Dhaka-1207</a:t>
              </a:r>
              <a:endParaRPr lang="en-US" sz="1000">
                <a:solidFill>
                  <a:schemeClr val="tx1"/>
                </a:solidFill>
                <a:latin typeface="Arial" pitchFamily="34" charset="0"/>
                <a:ea typeface="+mn-ea"/>
                <a:cs typeface="+mn-cs"/>
              </a:endParaRPr>
            </a:p>
            <a:p>
              <a:r>
                <a:rPr lang="en-US" sz="1000" b="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Phone	:    +88 02 	</a:t>
              </a:r>
              <a:r>
                <a:rPr lang="en-US" sz="1000" b="0" baseline="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                        	</a:t>
              </a:r>
              <a:r>
                <a:rPr lang="en-US" sz="1000" b="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Phone   	:    +88 02 8141699	Phone	:    +88 02 8141699</a:t>
              </a: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000" b="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Mobile	:    +8801		</a:t>
              </a:r>
              <a:r>
                <a:rPr lang="en-US" sz="1100" b="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Mobile	</a:t>
              </a:r>
              <a:r>
                <a:rPr lang="en-US" sz="1100" b="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:    </a:t>
              </a:r>
              <a:r>
                <a:rPr lang="en-US" sz="1000" b="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+8801716 016730</a:t>
              </a:r>
              <a:r>
                <a:rPr lang="en-US" sz="1100" b="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	Mobile	</a:t>
              </a:r>
              <a:r>
                <a:rPr lang="en-US" sz="1100" b="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:    </a:t>
              </a:r>
              <a:r>
                <a:rPr lang="en-US" sz="1000" b="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+8801711</a:t>
              </a:r>
              <a:r>
                <a:rPr lang="en-US" sz="1000" b="0" baseline="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 907904</a:t>
              </a:r>
              <a:endParaRPr lang="en-US" sz="1000">
                <a:solidFill>
                  <a:schemeClr val="tx1"/>
                </a:solidFill>
                <a:latin typeface="Arial" pitchFamily="34" charset="0"/>
                <a:ea typeface="+mn-ea"/>
                <a:cs typeface="+mn-cs"/>
              </a:endParaRPr>
            </a:p>
            <a:p>
              <a:r>
                <a:rPr lang="es-ES" sz="1000" b="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Fax 	:    +88 02 	                         	Fax        	:    +88 02 8127116	Fax	:    +88 02 8127116</a:t>
              </a:r>
              <a:endParaRPr lang="en-US" sz="1000" b="0">
                <a:solidFill>
                  <a:schemeClr val="tx1"/>
                </a:solidFill>
                <a:latin typeface="Arial" pitchFamily="34" charset="0"/>
                <a:ea typeface="+mn-ea"/>
                <a:cs typeface="+mn-cs"/>
              </a:endParaRPr>
            </a:p>
            <a:p>
              <a:r>
                <a:rPr lang="es-ES" sz="1000" b="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E-mail 	:    	                         	E-mail  	:     ctu@lged.gov.bd 	E-mail	:    </a:t>
              </a:r>
              <a:r>
                <a:rPr lang="es-ES" sz="1100" b="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ctu@lged.gov.bd</a:t>
              </a:r>
              <a:endParaRPr lang="en-US" sz="1000" b="0">
                <a:solidFill>
                  <a:schemeClr val="tx1"/>
                </a:solidFill>
                <a:latin typeface="Arial" pitchFamily="34" charset="0"/>
                <a:ea typeface="+mn-ea"/>
                <a:cs typeface="+mn-cs"/>
              </a:endParaRPr>
            </a:p>
            <a:p>
              <a:r>
                <a:rPr lang="en-US" sz="1000" b="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Web 	:    </a:t>
              </a:r>
              <a:r>
                <a:rPr lang="en-US" sz="1000" b="0" u="sng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www.lged.gov.bd</a:t>
              </a:r>
              <a:r>
                <a:rPr lang="en-US" sz="1000" b="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 </a:t>
              </a:r>
              <a:r>
                <a:rPr lang="en-US" sz="1000" b="0" baseline="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                 	</a:t>
              </a:r>
              <a:endParaRPr lang="en-US" sz="1000" b="0">
                <a:solidFill>
                  <a:schemeClr val="tx1"/>
                </a:solidFill>
                <a:latin typeface="Arial" pitchFamily="34" charset="0"/>
                <a:ea typeface="+mn-ea"/>
                <a:cs typeface="+mn-cs"/>
              </a:endParaRPr>
            </a:p>
            <a:p>
              <a:endParaRPr lang="en-US" sz="1000">
                <a:solidFill>
                  <a:schemeClr val="tx1"/>
                </a:solidFill>
                <a:latin typeface="Arial" pitchFamily="34" charset="0"/>
                <a:ea typeface="+mn-ea"/>
                <a:cs typeface="+mn-cs"/>
              </a:endParaRPr>
            </a:p>
            <a:p>
              <a:pPr rtl="1"/>
              <a:endParaRPr lang="en-US" sz="1100" b="0" i="0">
                <a:solidFill>
                  <a:schemeClr val="tx1"/>
                </a:solidFill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21" name="TextBox 20"/>
            <xdr:cNvSpPr txBox="1"/>
          </xdr:nvSpPr>
          <xdr:spPr bwMode="auto">
            <a:xfrm>
              <a:off x="42951" y="9553574"/>
              <a:ext cx="8375155" cy="43624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b="1" u="sng">
                  <a:solidFill>
                    <a:sysClr val="windowText" lastClr="000000"/>
                  </a:solidFill>
                  <a:latin typeface="Arial" pitchFamily="34" charset="0"/>
                  <a:ea typeface="+mn-ea"/>
                  <a:cs typeface="+mn-cs"/>
                </a:rPr>
                <a:t>Regional Training Centre </a:t>
              </a:r>
              <a:r>
                <a:rPr lang="en-US" sz="1100" b="1" u="none">
                  <a:solidFill>
                    <a:sysClr val="windowText" lastClr="000000"/>
                  </a:solidFill>
                  <a:latin typeface="Arial" pitchFamily="34" charset="0"/>
                  <a:ea typeface="+mn-ea"/>
                  <a:cs typeface="+mn-cs"/>
                </a:rPr>
                <a:t>: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500" b="1">
                <a:solidFill>
                  <a:srgbClr val="00FF99"/>
                </a:solidFill>
                <a:latin typeface="Arial" pitchFamily="34" charset="0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000" b="1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1.   RTC, Bogra			2.  RTC, Barisal		3.  RTC, Comilla	</a:t>
              </a:r>
              <a:endParaRPr lang="en-US" sz="1000">
                <a:solidFill>
                  <a:schemeClr val="tx1"/>
                </a:solidFill>
                <a:latin typeface="Arial" pitchFamily="34" charset="0"/>
                <a:ea typeface="+mn-ea"/>
                <a:cs typeface="+mn-cs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00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      Mr. Md. Akhter Hossain Rahman	     Mr. Abu Saed Md. Sahedur Rahim	     Mr. Md. Azharul Islam	</a:t>
              </a: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00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      Executive Engineer (PE&amp;T)		     Executive Engineer (PE&amp;T)		     Executive Engineer (PE&amp;T)</a:t>
              </a: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00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      Mob. No. 01715-095595		     Mob. No. 01715-053010		     Mob. No. 01711-855083</a:t>
              </a:r>
              <a:endParaRPr lang="en-US" sz="1000">
                <a:latin typeface="Arial" pitchFamily="34" charset="0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00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      E-Mail  : </a:t>
              </a:r>
              <a:r>
                <a:rPr lang="en-US" sz="110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training.bogra@lged.gov.bd</a:t>
              </a:r>
              <a:r>
                <a:rPr lang="en-US" sz="100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	     E-Mail  : training.barisal@lged.gov.bd	</a:t>
              </a:r>
              <a:r>
                <a:rPr lang="en-US" sz="1000" baseline="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     </a:t>
              </a:r>
              <a:r>
                <a:rPr lang="en-US" sz="100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E-Mail  : </a:t>
              </a:r>
              <a:r>
                <a:rPr lang="en-US" sz="110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training.comilla@lged.gov.bd</a:t>
              </a:r>
              <a:endParaRPr lang="en-US" sz="1000">
                <a:latin typeface="Arial" pitchFamily="34" charset="0"/>
              </a:endParaRPr>
            </a:p>
            <a:p>
              <a:endParaRPr lang="en-US" sz="500">
                <a:solidFill>
                  <a:schemeClr val="tx1"/>
                </a:solidFill>
                <a:latin typeface="Arial" pitchFamily="34" charset="0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000" b="1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4.  RTC, Chittagong		5.</a:t>
              </a:r>
              <a:r>
                <a:rPr lang="en-US" sz="1000" b="1" baseline="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  </a:t>
              </a:r>
              <a:r>
                <a:rPr lang="en-US" sz="1000" b="1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RTC, Dhaka			6.   RTC, Dinajpur</a:t>
              </a:r>
              <a:endParaRPr lang="en-US" sz="1000">
                <a:solidFill>
                  <a:schemeClr val="tx1"/>
                </a:solidFill>
                <a:latin typeface="Arial" pitchFamily="34" charset="0"/>
                <a:ea typeface="+mn-ea"/>
                <a:cs typeface="+mn-cs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00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      Mr. Md. Mosharaf Hossain		     Mr. Md. Abdul Ohab		      Mr. Sheik Anisur Rahman</a:t>
              </a:r>
            </a:p>
            <a:p>
              <a:r>
                <a:rPr lang="en-US" sz="100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      Executive Engineer (PE&amp;T)		     Executive Engineer (PE&amp;T)		      Executive Engineer (PE&amp;T)</a:t>
              </a: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00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      Mob. No. 01711-660413		     Mob. No. 01711-885222		      Mob. No. 01556-312499</a:t>
              </a: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000" baseline="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      </a:t>
              </a:r>
              <a:r>
                <a:rPr lang="en-US" sz="100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E-Mail  : </a:t>
              </a:r>
              <a:r>
                <a:rPr lang="en-US" sz="110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training.chittagong@lged.gov.bd</a:t>
              </a:r>
              <a:r>
                <a:rPr lang="en-US" sz="100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	</a:t>
              </a:r>
              <a:r>
                <a:rPr lang="en-US" sz="1000" baseline="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     </a:t>
              </a:r>
              <a:r>
                <a:rPr lang="en-US" sz="100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E-Mail  : </a:t>
              </a:r>
              <a:r>
                <a:rPr lang="en-US" sz="110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training.dhaka@lged.gov.bd</a:t>
              </a:r>
              <a:r>
                <a:rPr lang="en-US" sz="100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	      E-Mail  : </a:t>
              </a:r>
              <a:r>
                <a:rPr lang="en-US" sz="110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training.dinajpur@lged.gov.bd</a:t>
              </a:r>
              <a:endParaRPr lang="en-US" sz="1000">
                <a:solidFill>
                  <a:schemeClr val="tx1"/>
                </a:solidFill>
                <a:latin typeface="Arial" pitchFamily="34" charset="0"/>
                <a:ea typeface="+mn-ea"/>
                <a:cs typeface="+mn-cs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500">
                <a:solidFill>
                  <a:schemeClr val="tx1"/>
                </a:solidFill>
                <a:latin typeface="Arial" pitchFamily="34" charset="0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000" b="1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7</a:t>
              </a:r>
              <a:r>
                <a:rPr lang="en-US" sz="100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.  </a:t>
              </a:r>
              <a:r>
                <a:rPr lang="en-US" sz="1000" b="1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RTC, Faridpur		8.</a:t>
              </a:r>
              <a:r>
                <a:rPr lang="en-US" sz="1000" b="1" baseline="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  </a:t>
              </a:r>
              <a:r>
                <a:rPr lang="en-US" sz="1000" b="1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RTC, Jessore		9.   RTC, Khulna</a:t>
              </a:r>
              <a:endParaRPr lang="en-US" sz="1000">
                <a:solidFill>
                  <a:schemeClr val="tx1"/>
                </a:solidFill>
                <a:latin typeface="Arial" pitchFamily="34" charset="0"/>
                <a:ea typeface="+mn-ea"/>
                <a:cs typeface="+mn-cs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00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     Mr. Md. Shahadat Hossain		     Mr. Md. Sharif Uddin		      Mr. Prokash Chandra Biswas</a:t>
              </a:r>
              <a:endParaRPr lang="en-US" sz="1000">
                <a:latin typeface="Arial" pitchFamily="34" charset="0"/>
              </a:endParaRPr>
            </a:p>
            <a:p>
              <a:r>
                <a:rPr lang="en-US" sz="100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     Executive Engineer (PE&amp;T)		     Executive Engineer (PE&amp;T)		      Executive Engineer (PE&amp;T)</a:t>
              </a:r>
              <a:endParaRPr lang="en-US" sz="1000">
                <a:latin typeface="Arial" pitchFamily="34" charset="0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00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     Mob. No. 01711-240957		     Mob. No. 01711-172961		      Mob. No. 01720-553435</a:t>
              </a:r>
              <a:endParaRPr lang="en-US" sz="1000">
                <a:latin typeface="Arial" pitchFamily="34" charset="0"/>
              </a:endParaRPr>
            </a:p>
            <a:p>
              <a:r>
                <a:rPr lang="en-US" sz="1000" baseline="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     </a:t>
              </a:r>
              <a:r>
                <a:rPr lang="en-US" sz="100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E-Mail  : </a:t>
              </a:r>
              <a:r>
                <a:rPr lang="en-US" sz="110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training.faridpur@lged.gov.bd</a:t>
              </a:r>
              <a:r>
                <a:rPr lang="en-US" sz="1000" baseline="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    	     </a:t>
              </a:r>
              <a:r>
                <a:rPr lang="en-US" sz="100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E-Mail  : </a:t>
              </a:r>
              <a:r>
                <a:rPr lang="en-US" sz="110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training.jessore@lged.gov.bd</a:t>
              </a:r>
              <a:r>
                <a:rPr lang="en-US" sz="100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	      E-Mail  : </a:t>
              </a:r>
              <a:r>
                <a:rPr lang="en-US" sz="110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training.khulna@lged.gov.bd</a:t>
              </a:r>
              <a:endParaRPr lang="en-US" sz="1000">
                <a:solidFill>
                  <a:schemeClr val="tx1"/>
                </a:solidFill>
                <a:latin typeface="Arial" pitchFamily="34" charset="0"/>
                <a:ea typeface="+mn-ea"/>
                <a:cs typeface="+mn-cs"/>
              </a:endParaRPr>
            </a:p>
            <a:p>
              <a:endParaRPr lang="en-US" sz="500">
                <a:solidFill>
                  <a:schemeClr val="tx1"/>
                </a:solidFill>
                <a:latin typeface="Arial" pitchFamily="34" charset="0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000" b="1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10</a:t>
              </a:r>
              <a:r>
                <a:rPr lang="en-US" sz="100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. </a:t>
              </a:r>
              <a:r>
                <a:rPr lang="en-US" sz="1000" b="1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RTC, Mymensingh		11.</a:t>
              </a:r>
              <a:r>
                <a:rPr lang="en-US" sz="1000" b="1" baseline="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  </a:t>
              </a:r>
              <a:r>
                <a:rPr lang="en-US" sz="1000" b="1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RTC, Patuakhali		12.  RTC, Rajshahi</a:t>
              </a:r>
              <a:endParaRPr lang="en-US" sz="1000">
                <a:solidFill>
                  <a:schemeClr val="tx1"/>
                </a:solidFill>
                <a:latin typeface="Arial" pitchFamily="34" charset="0"/>
                <a:ea typeface="+mn-ea"/>
                <a:cs typeface="+mn-cs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00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      Mr. Md. Wahiduzzaman		       Mr. Forkan Ahmed Khan		       Mr. Md. Abubakar Siddiuqe </a:t>
              </a:r>
            </a:p>
            <a:p>
              <a:r>
                <a:rPr lang="en-US" sz="100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      Executive Engineer (PE&amp;T)		       Executive Engineer (PE&amp;T)		       Executive Engineer (PE&amp;T)</a:t>
              </a: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00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      Mob. No. 01711-340177	 	       Mob. No. 01711-343758		       Mob. No. 01558-341638</a:t>
              </a:r>
            </a:p>
            <a:p>
              <a:r>
                <a:rPr lang="en-US" sz="1000" baseline="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      </a:t>
              </a:r>
              <a:r>
                <a:rPr lang="en-US" sz="100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E-Mail  : </a:t>
              </a:r>
              <a:r>
                <a:rPr lang="en-US" sz="110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training.mymensingh@lged.gov.bd</a:t>
              </a:r>
              <a:r>
                <a:rPr lang="en-US" sz="1000" baseline="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        </a:t>
              </a:r>
              <a:r>
                <a:rPr lang="en-US" sz="100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E-Mail  : </a:t>
              </a:r>
              <a:r>
                <a:rPr lang="en-US" sz="110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training.patuakhali@lged.gov.bd</a:t>
              </a:r>
              <a:r>
                <a:rPr lang="en-US" sz="100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	       E-Mail  : </a:t>
              </a:r>
              <a:r>
                <a:rPr lang="en-US" sz="110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training.rajshahi@lged.gov.bd</a:t>
              </a:r>
              <a:endParaRPr lang="en-US" sz="1000">
                <a:solidFill>
                  <a:schemeClr val="tx1"/>
                </a:solidFill>
                <a:latin typeface="Arial" pitchFamily="34" charset="0"/>
                <a:ea typeface="+mn-ea"/>
                <a:cs typeface="+mn-cs"/>
              </a:endParaRPr>
            </a:p>
            <a:p>
              <a:endParaRPr lang="en-US" sz="500">
                <a:solidFill>
                  <a:schemeClr val="tx1"/>
                </a:solidFill>
                <a:latin typeface="Arial" pitchFamily="34" charset="0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000" b="1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13</a:t>
              </a:r>
              <a:r>
                <a:rPr lang="en-US" sz="100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. </a:t>
              </a:r>
              <a:r>
                <a:rPr lang="en-US" sz="1000" b="1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RTC, Rangpur		14.</a:t>
              </a:r>
              <a:r>
                <a:rPr lang="en-US" sz="1000" b="1" baseline="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  </a:t>
              </a:r>
              <a:r>
                <a:rPr lang="en-US" sz="1000" b="1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RTC, Sylhet		</a:t>
              </a:r>
              <a:endParaRPr lang="en-US" sz="1000">
                <a:solidFill>
                  <a:schemeClr val="tx1"/>
                </a:solidFill>
                <a:latin typeface="Arial" pitchFamily="34" charset="0"/>
                <a:ea typeface="+mn-ea"/>
                <a:cs typeface="+mn-cs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00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      Mr. Md. Abdus Salam Mandol	       Mr. Md. Shahanur 		       </a:t>
              </a:r>
              <a:endParaRPr lang="en-US" sz="1000">
                <a:latin typeface="Arial" pitchFamily="34" charset="0"/>
              </a:endParaRPr>
            </a:p>
            <a:p>
              <a:r>
                <a:rPr lang="en-US" sz="100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      Executive Engineer (PE&amp;T)		       Executive Engineer (PE&amp;T)		       </a:t>
              </a:r>
              <a:endParaRPr lang="en-US" sz="1000">
                <a:latin typeface="Arial" pitchFamily="34" charset="0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00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      Mob. No. 01736-694077	 	       Mob. No. 01712-237932		</a:t>
              </a:r>
              <a:endParaRPr lang="en-US" sz="1000">
                <a:latin typeface="Arial" pitchFamily="34" charset="0"/>
              </a:endParaRPr>
            </a:p>
            <a:p>
              <a:r>
                <a:rPr lang="en-US" sz="1000" baseline="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      </a:t>
              </a:r>
              <a:r>
                <a:rPr lang="en-US" sz="100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E-Mail  : </a:t>
              </a:r>
              <a:r>
                <a:rPr lang="en-US" sz="110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training.rangpur@lged.gov.bd</a:t>
              </a:r>
              <a:r>
                <a:rPr lang="en-US" sz="1000" baseline="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    	       </a:t>
              </a:r>
              <a:r>
                <a:rPr lang="en-US" sz="100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E-Mail  : </a:t>
              </a:r>
              <a:r>
                <a:rPr lang="en-US" sz="110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training.sylhet@lged.gov.bd</a:t>
              </a:r>
            </a:p>
            <a:p>
              <a:r>
                <a:rPr lang="en-US" sz="100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rPr>
                <a:t>			       </a:t>
              </a:r>
              <a:endParaRPr lang="en-US" sz="1000">
                <a:latin typeface="Arial" pitchFamily="34" charset="0"/>
              </a:endParaRPr>
            </a:p>
            <a:p>
              <a:endParaRPr lang="en-US" sz="1100">
                <a:solidFill>
                  <a:schemeClr val="tx1"/>
                </a:solidFill>
                <a:latin typeface="+mn-lt"/>
                <a:ea typeface="+mn-ea"/>
                <a:cs typeface="+mn-cs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/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100">
                <a:solidFill>
                  <a:schemeClr val="tx1"/>
                </a:solidFill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tx1"/>
                </a:solidFill>
                <a:latin typeface="+mn-lt"/>
                <a:ea typeface="+mn-ea"/>
                <a:cs typeface="+mn-cs"/>
              </a:endParaRPr>
            </a:p>
            <a:p>
              <a:pPr rtl="1"/>
              <a:endParaRPr lang="en-US" sz="1100" b="0" i="0">
                <a:solidFill>
                  <a:schemeClr val="tx1"/>
                </a:solidFill>
                <a:latin typeface="+mn-lt"/>
                <a:ea typeface="+mn-ea"/>
                <a:cs typeface="+mn-cs"/>
              </a:endParaRP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71438</xdr:colOff>
      <xdr:row>0</xdr:row>
      <xdr:rowOff>128322</xdr:rowOff>
    </xdr:from>
    <xdr:to>
      <xdr:col>13</xdr:col>
      <xdr:colOff>59532</xdr:colOff>
      <xdr:row>21</xdr:row>
      <xdr:rowOff>22490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71439</xdr:colOff>
      <xdr:row>21</xdr:row>
      <xdr:rowOff>78053</xdr:rowOff>
    </xdr:from>
    <xdr:to>
      <xdr:col>13</xdr:col>
      <xdr:colOff>47626</xdr:colOff>
      <xdr:row>41</xdr:row>
      <xdr:rowOff>46302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71438</xdr:colOff>
      <xdr:row>42</xdr:row>
      <xdr:rowOff>11905</xdr:rowOff>
    </xdr:from>
    <xdr:to>
      <xdr:col>13</xdr:col>
      <xdr:colOff>71438</xdr:colOff>
      <xdr:row>68</xdr:row>
      <xdr:rowOff>3967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59532</xdr:colOff>
      <xdr:row>68</xdr:row>
      <xdr:rowOff>35718</xdr:rowOff>
    </xdr:from>
    <xdr:to>
      <xdr:col>13</xdr:col>
      <xdr:colOff>59533</xdr:colOff>
      <xdr:row>86</xdr:row>
      <xdr:rowOff>71782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214312</xdr:colOff>
      <xdr:row>25</xdr:row>
      <xdr:rowOff>23812</xdr:rowOff>
    </xdr:from>
    <xdr:to>
      <xdr:col>1</xdr:col>
      <xdr:colOff>988218</xdr:colOff>
      <xdr:row>29</xdr:row>
      <xdr:rowOff>59531</xdr:rowOff>
    </xdr:to>
    <xdr:sp macro="" textlink="">
      <xdr:nvSpPr>
        <xdr:cNvPr id="6" name="TextBox 5"/>
        <xdr:cNvSpPr txBox="1"/>
      </xdr:nvSpPr>
      <xdr:spPr>
        <a:xfrm>
          <a:off x="476250" y="4572000"/>
          <a:ext cx="773906" cy="702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100"/>
        </a:p>
      </xdr:txBody>
    </xdr:sp>
    <xdr:clientData/>
  </xdr:twoCellAnchor>
  <xdr:twoCellAnchor>
    <xdr:from>
      <xdr:col>7</xdr:col>
      <xdr:colOff>273844</xdr:colOff>
      <xdr:row>110</xdr:row>
      <xdr:rowOff>11907</xdr:rowOff>
    </xdr:from>
    <xdr:to>
      <xdr:col>16</xdr:col>
      <xdr:colOff>714375</xdr:colOff>
      <xdr:row>129</xdr:row>
      <xdr:rowOff>343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250032</xdr:colOff>
      <xdr:row>88</xdr:row>
      <xdr:rowOff>130968</xdr:rowOff>
    </xdr:from>
    <xdr:to>
      <xdr:col>16</xdr:col>
      <xdr:colOff>738187</xdr:colOff>
      <xdr:row>107</xdr:row>
      <xdr:rowOff>166686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35718</xdr:colOff>
      <xdr:row>88</xdr:row>
      <xdr:rowOff>130968</xdr:rowOff>
    </xdr:from>
    <xdr:to>
      <xdr:col>7</xdr:col>
      <xdr:colOff>190500</xdr:colOff>
      <xdr:row>107</xdr:row>
      <xdr:rowOff>166686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47626</xdr:colOff>
      <xdr:row>110</xdr:row>
      <xdr:rowOff>23812</xdr:rowOff>
    </xdr:from>
    <xdr:to>
      <xdr:col>7</xdr:col>
      <xdr:colOff>166688</xdr:colOff>
      <xdr:row>128</xdr:row>
      <xdr:rowOff>154781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</a:spPr>
      <a:bodyPr rtlCol="0" anchor="ctr"/>
      <a:lstStyle>
        <a:defPPr algn="ctr">
          <a:defRPr sz="1000">
            <a:solidFill>
              <a:schemeClr val="bg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oleObject" Target="../embeddings/oleObject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09"/>
  <sheetViews>
    <sheetView topLeftCell="A3" workbookViewId="0">
      <pane ySplit="1395" topLeftCell="A401" activePane="bottomLeft"/>
      <selection activeCell="A3" sqref="A1:XFD1048576"/>
      <selection pane="bottomLeft" activeCell="A404" sqref="A404:L408"/>
    </sheetView>
  </sheetViews>
  <sheetFormatPr defaultRowHeight="12.75"/>
  <cols>
    <col min="1" max="1" width="5.7109375" style="347" customWidth="1"/>
    <col min="2" max="2" width="7.85546875" style="347" customWidth="1"/>
    <col min="3" max="3" width="37.85546875" style="347" customWidth="1"/>
    <col min="4" max="4" width="17.140625" style="347" customWidth="1"/>
    <col min="5" max="7" width="9.140625" style="347"/>
    <col min="8" max="8" width="10.85546875" style="347" customWidth="1"/>
    <col min="9" max="9" width="9.140625" style="347"/>
    <col min="10" max="10" width="10.42578125" style="347" bestFit="1" customWidth="1"/>
    <col min="11" max="11" width="11.28515625" style="347" customWidth="1"/>
    <col min="12" max="12" width="9.140625" style="347"/>
    <col min="13" max="13" width="10" style="558" customWidth="1"/>
    <col min="14" max="14" width="23.5703125" style="347" customWidth="1"/>
    <col min="15" max="16384" width="9.140625" style="347"/>
  </cols>
  <sheetData>
    <row r="1" spans="1:16" ht="20.25">
      <c r="A1" s="859" t="s">
        <v>3</v>
      </c>
      <c r="B1" s="859"/>
      <c r="C1" s="859"/>
      <c r="D1" s="859"/>
      <c r="E1" s="859"/>
      <c r="F1" s="859"/>
      <c r="G1" s="859"/>
      <c r="H1" s="859"/>
      <c r="I1" s="859"/>
      <c r="J1" s="859"/>
      <c r="K1" s="859"/>
      <c r="L1" s="859"/>
    </row>
    <row r="2" spans="1:16" ht="20.25">
      <c r="A2" s="859" t="s">
        <v>4</v>
      </c>
      <c r="B2" s="859"/>
      <c r="C2" s="859"/>
      <c r="D2" s="859"/>
      <c r="E2" s="859"/>
      <c r="F2" s="859"/>
      <c r="G2" s="859"/>
      <c r="H2" s="859"/>
      <c r="I2" s="859"/>
      <c r="J2" s="859"/>
      <c r="K2" s="859"/>
      <c r="L2" s="859"/>
    </row>
    <row r="3" spans="1:16" ht="20.25">
      <c r="A3" s="859" t="s">
        <v>1134</v>
      </c>
      <c r="B3" s="859"/>
      <c r="C3" s="859"/>
      <c r="D3" s="859"/>
      <c r="E3" s="859"/>
      <c r="F3" s="859"/>
      <c r="G3" s="859"/>
      <c r="H3" s="859"/>
      <c r="I3" s="859"/>
      <c r="J3" s="859"/>
      <c r="K3" s="859"/>
      <c r="L3" s="859"/>
    </row>
    <row r="4" spans="1:16" ht="24">
      <c r="A4" s="559" t="s">
        <v>129</v>
      </c>
      <c r="B4" s="560" t="s">
        <v>6</v>
      </c>
      <c r="C4" s="560" t="s">
        <v>364</v>
      </c>
      <c r="D4" s="560" t="s">
        <v>9</v>
      </c>
      <c r="E4" s="560" t="s">
        <v>7</v>
      </c>
      <c r="F4" s="560" t="s">
        <v>106</v>
      </c>
      <c r="G4" s="560" t="s">
        <v>416</v>
      </c>
      <c r="H4" s="560" t="s">
        <v>107</v>
      </c>
      <c r="I4" s="560" t="s">
        <v>8</v>
      </c>
      <c r="J4" s="560" t="s">
        <v>223</v>
      </c>
      <c r="K4" s="560" t="s">
        <v>108</v>
      </c>
      <c r="L4" s="560" t="s">
        <v>836</v>
      </c>
    </row>
    <row r="5" spans="1:16">
      <c r="A5" s="561">
        <v>1</v>
      </c>
      <c r="B5" s="561">
        <v>2</v>
      </c>
      <c r="C5" s="561">
        <v>3</v>
      </c>
      <c r="D5" s="561">
        <v>4</v>
      </c>
      <c r="E5" s="561">
        <v>5</v>
      </c>
      <c r="F5" s="561">
        <v>6</v>
      </c>
      <c r="G5" s="561">
        <v>7</v>
      </c>
      <c r="H5" s="561">
        <v>8</v>
      </c>
      <c r="I5" s="561">
        <v>9</v>
      </c>
      <c r="J5" s="561">
        <v>10</v>
      </c>
      <c r="K5" s="562">
        <v>11</v>
      </c>
      <c r="L5" s="561">
        <v>12</v>
      </c>
    </row>
    <row r="6" spans="1:16" ht="20.25">
      <c r="A6" s="361" t="s">
        <v>1542</v>
      </c>
      <c r="B6" s="361" t="s">
        <v>13</v>
      </c>
      <c r="C6" s="361"/>
      <c r="D6" s="361"/>
      <c r="E6" s="361"/>
      <c r="F6" s="361"/>
      <c r="G6" s="361"/>
      <c r="H6" s="361"/>
      <c r="I6" s="361"/>
      <c r="J6" s="361"/>
      <c r="K6" s="362"/>
      <c r="L6" s="361"/>
    </row>
    <row r="7" spans="1:16" ht="20.25">
      <c r="A7" s="563" t="s">
        <v>1235</v>
      </c>
      <c r="B7" s="361"/>
      <c r="C7" s="563"/>
      <c r="D7" s="563"/>
      <c r="E7" s="563"/>
      <c r="F7" s="563"/>
      <c r="G7" s="563"/>
      <c r="H7" s="563"/>
      <c r="I7" s="563"/>
      <c r="J7" s="563"/>
      <c r="K7" s="563"/>
      <c r="L7" s="564"/>
      <c r="M7" s="375"/>
      <c r="N7" s="375"/>
      <c r="O7" s="565"/>
      <c r="P7" s="558"/>
    </row>
    <row r="8" spans="1:16" ht="24">
      <c r="A8" s="328">
        <v>1</v>
      </c>
      <c r="B8" s="329"/>
      <c r="C8" s="330" t="s">
        <v>1245</v>
      </c>
      <c r="D8" s="331" t="s">
        <v>193</v>
      </c>
      <c r="E8" s="332">
        <v>1</v>
      </c>
      <c r="F8" s="332">
        <v>30</v>
      </c>
      <c r="G8" s="332">
        <v>2</v>
      </c>
      <c r="H8" s="332">
        <f t="shared" ref="H8:H13" si="0">F8*G8</f>
        <v>60</v>
      </c>
      <c r="I8" s="332">
        <f t="shared" ref="I8" si="1">H8*E8</f>
        <v>60</v>
      </c>
      <c r="J8" s="333">
        <v>4.21</v>
      </c>
      <c r="K8" s="332" t="s">
        <v>331</v>
      </c>
      <c r="L8" s="334" t="s">
        <v>1243</v>
      </c>
      <c r="M8" s="328"/>
      <c r="N8" s="328"/>
      <c r="O8" s="566"/>
      <c r="P8" s="567"/>
    </row>
    <row r="9" spans="1:16" ht="27">
      <c r="A9" s="328">
        <f>A8+1</f>
        <v>2</v>
      </c>
      <c r="B9" s="329"/>
      <c r="C9" s="335" t="s">
        <v>1246</v>
      </c>
      <c r="D9" s="336" t="s">
        <v>835</v>
      </c>
      <c r="E9" s="337">
        <v>4</v>
      </c>
      <c r="F9" s="337">
        <v>25</v>
      </c>
      <c r="G9" s="338">
        <v>2</v>
      </c>
      <c r="H9" s="338">
        <f t="shared" si="0"/>
        <v>50</v>
      </c>
      <c r="I9" s="338">
        <f t="shared" ref="I9" si="2">E9*H9</f>
        <v>200</v>
      </c>
      <c r="J9" s="339">
        <v>5</v>
      </c>
      <c r="K9" s="340" t="s">
        <v>312</v>
      </c>
      <c r="L9" s="341" t="s">
        <v>823</v>
      </c>
      <c r="M9" s="328"/>
      <c r="N9" s="328"/>
      <c r="O9" s="566"/>
      <c r="P9" s="567"/>
    </row>
    <row r="10" spans="1:16" ht="36">
      <c r="A10" s="328">
        <f t="shared" ref="A10:A29" si="3">A9+1</f>
        <v>3</v>
      </c>
      <c r="B10" s="342" t="s">
        <v>275</v>
      </c>
      <c r="C10" s="343" t="s">
        <v>1250</v>
      </c>
      <c r="D10" s="344" t="s">
        <v>276</v>
      </c>
      <c r="E10" s="332">
        <v>1</v>
      </c>
      <c r="F10" s="332">
        <v>50</v>
      </c>
      <c r="G10" s="332">
        <v>4</v>
      </c>
      <c r="H10" s="332">
        <f t="shared" si="0"/>
        <v>200</v>
      </c>
      <c r="I10" s="332">
        <f t="shared" ref="I10:I13" si="4">H10*E10</f>
        <v>200</v>
      </c>
      <c r="J10" s="345">
        <v>10</v>
      </c>
      <c r="K10" s="343" t="s">
        <v>277</v>
      </c>
      <c r="L10" s="346" t="s">
        <v>734</v>
      </c>
    </row>
    <row r="11" spans="1:16" ht="36">
      <c r="A11" s="328">
        <f t="shared" si="3"/>
        <v>4</v>
      </c>
      <c r="B11" s="342" t="s">
        <v>275</v>
      </c>
      <c r="C11" s="343" t="s">
        <v>1250</v>
      </c>
      <c r="D11" s="344" t="s">
        <v>735</v>
      </c>
      <c r="E11" s="332">
        <v>4</v>
      </c>
      <c r="F11" s="332">
        <v>30</v>
      </c>
      <c r="G11" s="332">
        <v>4</v>
      </c>
      <c r="H11" s="332">
        <f t="shared" si="0"/>
        <v>120</v>
      </c>
      <c r="I11" s="332">
        <f t="shared" si="4"/>
        <v>480</v>
      </c>
      <c r="J11" s="345">
        <v>10</v>
      </c>
      <c r="K11" s="343" t="s">
        <v>277</v>
      </c>
      <c r="L11" s="346" t="s">
        <v>736</v>
      </c>
    </row>
    <row r="12" spans="1:16" ht="36">
      <c r="A12" s="328">
        <f t="shared" si="3"/>
        <v>5</v>
      </c>
      <c r="B12" s="342" t="s">
        <v>278</v>
      </c>
      <c r="C12" s="343" t="s">
        <v>1251</v>
      </c>
      <c r="D12" s="344" t="s">
        <v>737</v>
      </c>
      <c r="E12" s="332">
        <v>5</v>
      </c>
      <c r="F12" s="332">
        <v>25</v>
      </c>
      <c r="G12" s="332">
        <v>10</v>
      </c>
      <c r="H12" s="332">
        <f t="shared" si="0"/>
        <v>250</v>
      </c>
      <c r="I12" s="332">
        <f t="shared" si="4"/>
        <v>1250</v>
      </c>
      <c r="J12" s="345">
        <v>20</v>
      </c>
      <c r="K12" s="343" t="s">
        <v>277</v>
      </c>
      <c r="L12" s="346" t="s">
        <v>738</v>
      </c>
    </row>
    <row r="13" spans="1:16" ht="36">
      <c r="A13" s="328">
        <f t="shared" si="3"/>
        <v>6</v>
      </c>
      <c r="B13" s="342" t="s">
        <v>15</v>
      </c>
      <c r="C13" s="343" t="s">
        <v>1252</v>
      </c>
      <c r="D13" s="344" t="s">
        <v>280</v>
      </c>
      <c r="E13" s="332">
        <v>5</v>
      </c>
      <c r="F13" s="332">
        <v>25</v>
      </c>
      <c r="G13" s="332">
        <v>5</v>
      </c>
      <c r="H13" s="332">
        <f t="shared" si="0"/>
        <v>125</v>
      </c>
      <c r="I13" s="332">
        <f t="shared" si="4"/>
        <v>625</v>
      </c>
      <c r="J13" s="345">
        <v>6</v>
      </c>
      <c r="K13" s="343" t="s">
        <v>277</v>
      </c>
      <c r="L13" s="346" t="s">
        <v>739</v>
      </c>
    </row>
    <row r="14" spans="1:16" ht="36">
      <c r="A14" s="328">
        <f t="shared" si="3"/>
        <v>7</v>
      </c>
      <c r="B14" s="342" t="s">
        <v>436</v>
      </c>
      <c r="C14" s="343" t="s">
        <v>1253</v>
      </c>
      <c r="D14" s="344" t="s">
        <v>280</v>
      </c>
      <c r="E14" s="332">
        <v>5</v>
      </c>
      <c r="F14" s="332">
        <v>20</v>
      </c>
      <c r="G14" s="332">
        <v>10</v>
      </c>
      <c r="H14" s="332">
        <f>F14*G14</f>
        <v>200</v>
      </c>
      <c r="I14" s="332">
        <f>H14*E14</f>
        <v>1000</v>
      </c>
      <c r="J14" s="345">
        <v>10</v>
      </c>
      <c r="K14" s="343" t="s">
        <v>277</v>
      </c>
      <c r="L14" s="346" t="s">
        <v>741</v>
      </c>
    </row>
    <row r="15" spans="1:16" ht="36">
      <c r="A15" s="328">
        <f t="shared" si="3"/>
        <v>8</v>
      </c>
      <c r="B15" s="342" t="s">
        <v>281</v>
      </c>
      <c r="C15" s="343" t="s">
        <v>1249</v>
      </c>
      <c r="D15" s="344" t="s">
        <v>737</v>
      </c>
      <c r="E15" s="332">
        <v>5</v>
      </c>
      <c r="F15" s="332">
        <v>25</v>
      </c>
      <c r="G15" s="332">
        <v>10</v>
      </c>
      <c r="H15" s="332">
        <f>F15*G15</f>
        <v>250</v>
      </c>
      <c r="I15" s="332">
        <f>H15*E15</f>
        <v>1250</v>
      </c>
      <c r="J15" s="345">
        <v>20</v>
      </c>
      <c r="K15" s="343" t="s">
        <v>277</v>
      </c>
      <c r="L15" s="346" t="s">
        <v>742</v>
      </c>
    </row>
    <row r="16" spans="1:16" ht="36">
      <c r="A16" s="328">
        <f t="shared" si="3"/>
        <v>9</v>
      </c>
      <c r="B16" s="342" t="s">
        <v>295</v>
      </c>
      <c r="C16" s="343" t="s">
        <v>1247</v>
      </c>
      <c r="D16" s="344" t="s">
        <v>750</v>
      </c>
      <c r="E16" s="332">
        <v>5</v>
      </c>
      <c r="F16" s="332">
        <v>10</v>
      </c>
      <c r="G16" s="332">
        <v>10</v>
      </c>
      <c r="H16" s="332">
        <f t="shared" ref="H16:H17" si="5">F16*G16</f>
        <v>100</v>
      </c>
      <c r="I16" s="332">
        <f t="shared" ref="I16:I17" si="6">H16*E16</f>
        <v>500</v>
      </c>
      <c r="J16" s="345">
        <v>8</v>
      </c>
      <c r="K16" s="343" t="s">
        <v>285</v>
      </c>
      <c r="L16" s="346" t="s">
        <v>769</v>
      </c>
    </row>
    <row r="17" spans="1:12" ht="36">
      <c r="A17" s="328">
        <f t="shared" si="3"/>
        <v>10</v>
      </c>
      <c r="B17" s="342" t="s">
        <v>325</v>
      </c>
      <c r="C17" s="343" t="s">
        <v>1248</v>
      </c>
      <c r="D17" s="344" t="s">
        <v>208</v>
      </c>
      <c r="E17" s="332">
        <v>5</v>
      </c>
      <c r="F17" s="332">
        <v>20</v>
      </c>
      <c r="G17" s="332">
        <v>10</v>
      </c>
      <c r="H17" s="332">
        <f t="shared" si="5"/>
        <v>200</v>
      </c>
      <c r="I17" s="332">
        <f t="shared" si="6"/>
        <v>1000</v>
      </c>
      <c r="J17" s="345">
        <v>20</v>
      </c>
      <c r="K17" s="343" t="s">
        <v>277</v>
      </c>
      <c r="L17" s="346" t="s">
        <v>771</v>
      </c>
    </row>
    <row r="18" spans="1:12" ht="36">
      <c r="A18" s="328">
        <f t="shared" si="3"/>
        <v>11</v>
      </c>
      <c r="B18" s="348" t="s">
        <v>52</v>
      </c>
      <c r="C18" s="349" t="s">
        <v>1260</v>
      </c>
      <c r="D18" s="349" t="s">
        <v>1031</v>
      </c>
      <c r="E18" s="350">
        <v>3</v>
      </c>
      <c r="F18" s="350">
        <v>25</v>
      </c>
      <c r="G18" s="350">
        <v>4</v>
      </c>
      <c r="H18" s="350">
        <f>G18*F18</f>
        <v>100</v>
      </c>
      <c r="I18" s="350">
        <f>H18*E18</f>
        <v>300</v>
      </c>
      <c r="J18" s="351">
        <v>8.52</v>
      </c>
      <c r="K18" s="352" t="s">
        <v>1032</v>
      </c>
      <c r="L18" s="352" t="s">
        <v>1016</v>
      </c>
    </row>
    <row r="19" spans="1:12" ht="24">
      <c r="A19" s="328">
        <f t="shared" si="3"/>
        <v>12</v>
      </c>
      <c r="B19" s="348" t="s">
        <v>53</v>
      </c>
      <c r="C19" s="349" t="s">
        <v>1259</v>
      </c>
      <c r="D19" s="349" t="s">
        <v>298</v>
      </c>
      <c r="E19" s="350">
        <v>2</v>
      </c>
      <c r="F19" s="350">
        <v>20</v>
      </c>
      <c r="G19" s="350">
        <v>2</v>
      </c>
      <c r="H19" s="350">
        <f>G19*F19</f>
        <v>40</v>
      </c>
      <c r="I19" s="350">
        <f>H19*E19</f>
        <v>80</v>
      </c>
      <c r="J19" s="351">
        <v>2.98</v>
      </c>
      <c r="K19" s="352" t="s">
        <v>1032</v>
      </c>
      <c r="L19" s="352" t="s">
        <v>1016</v>
      </c>
    </row>
    <row r="20" spans="1:12" ht="24">
      <c r="A20" s="328">
        <f t="shared" si="3"/>
        <v>13</v>
      </c>
      <c r="B20" s="348" t="s">
        <v>54</v>
      </c>
      <c r="C20" s="349" t="s">
        <v>1258</v>
      </c>
      <c r="D20" s="349" t="s">
        <v>1034</v>
      </c>
      <c r="E20" s="350">
        <v>4</v>
      </c>
      <c r="F20" s="350">
        <v>25</v>
      </c>
      <c r="G20" s="350">
        <v>4</v>
      </c>
      <c r="H20" s="350">
        <f t="shared" ref="H20" si="7">G20*F20</f>
        <v>100</v>
      </c>
      <c r="I20" s="350">
        <f t="shared" ref="I20" si="8">H20*E20</f>
        <v>400</v>
      </c>
      <c r="J20" s="351">
        <v>9.1999999999999993</v>
      </c>
      <c r="K20" s="352" t="s">
        <v>1032</v>
      </c>
      <c r="L20" s="352" t="s">
        <v>1016</v>
      </c>
    </row>
    <row r="21" spans="1:12" ht="24">
      <c r="A21" s="328">
        <f t="shared" si="3"/>
        <v>14</v>
      </c>
      <c r="B21" s="348" t="s">
        <v>130</v>
      </c>
      <c r="C21" s="349" t="s">
        <v>1257</v>
      </c>
      <c r="D21" s="349" t="s">
        <v>1037</v>
      </c>
      <c r="E21" s="350">
        <v>3</v>
      </c>
      <c r="F21" s="350">
        <v>25</v>
      </c>
      <c r="G21" s="350">
        <v>5</v>
      </c>
      <c r="H21" s="350">
        <v>125</v>
      </c>
      <c r="I21" s="350">
        <v>375</v>
      </c>
      <c r="J21" s="351">
        <v>9.6</v>
      </c>
      <c r="K21" s="352" t="s">
        <v>1032</v>
      </c>
      <c r="L21" s="352" t="s">
        <v>1016</v>
      </c>
    </row>
    <row r="22" spans="1:12" ht="24">
      <c r="A22" s="328">
        <f t="shared" si="3"/>
        <v>15</v>
      </c>
      <c r="B22" s="348" t="s">
        <v>1188</v>
      </c>
      <c r="C22" s="349" t="s">
        <v>1256</v>
      </c>
      <c r="D22" s="349" t="s">
        <v>42</v>
      </c>
      <c r="E22" s="350">
        <v>5</v>
      </c>
      <c r="F22" s="350">
        <v>20</v>
      </c>
      <c r="G22" s="350">
        <v>4</v>
      </c>
      <c r="H22" s="350">
        <v>80</v>
      </c>
      <c r="I22" s="350">
        <v>400</v>
      </c>
      <c r="J22" s="351">
        <v>10</v>
      </c>
      <c r="K22" s="352" t="s">
        <v>1032</v>
      </c>
      <c r="L22" s="352" t="s">
        <v>1016</v>
      </c>
    </row>
    <row r="23" spans="1:12" ht="24">
      <c r="A23" s="328">
        <f t="shared" si="3"/>
        <v>16</v>
      </c>
      <c r="B23" s="348" t="s">
        <v>1043</v>
      </c>
      <c r="C23" s="349" t="s">
        <v>1255</v>
      </c>
      <c r="D23" s="349" t="s">
        <v>1045</v>
      </c>
      <c r="E23" s="350">
        <v>5</v>
      </c>
      <c r="F23" s="350">
        <v>25</v>
      </c>
      <c r="G23" s="350">
        <v>3</v>
      </c>
      <c r="H23" s="350">
        <v>75</v>
      </c>
      <c r="I23" s="350">
        <v>375</v>
      </c>
      <c r="J23" s="351">
        <v>7.5</v>
      </c>
      <c r="K23" s="352" t="s">
        <v>1189</v>
      </c>
      <c r="L23" s="352" t="s">
        <v>1016</v>
      </c>
    </row>
    <row r="24" spans="1:12" ht="24">
      <c r="A24" s="328">
        <f t="shared" si="3"/>
        <v>17</v>
      </c>
      <c r="B24" s="348" t="s">
        <v>355</v>
      </c>
      <c r="C24" s="349" t="s">
        <v>1254</v>
      </c>
      <c r="D24" s="349" t="s">
        <v>42</v>
      </c>
      <c r="E24" s="350">
        <v>11</v>
      </c>
      <c r="F24" s="350">
        <v>20</v>
      </c>
      <c r="G24" s="350">
        <v>1</v>
      </c>
      <c r="H24" s="350">
        <v>20</v>
      </c>
      <c r="I24" s="350">
        <v>220</v>
      </c>
      <c r="J24" s="351">
        <v>8.8000000000000007</v>
      </c>
      <c r="K24" s="352" t="s">
        <v>1032</v>
      </c>
      <c r="L24" s="352" t="s">
        <v>1016</v>
      </c>
    </row>
    <row r="25" spans="1:12" ht="24">
      <c r="A25" s="328">
        <f t="shared" si="3"/>
        <v>18</v>
      </c>
      <c r="B25" s="348"/>
      <c r="C25" s="343" t="s">
        <v>1262</v>
      </c>
      <c r="D25" s="353" t="s">
        <v>716</v>
      </c>
      <c r="E25" s="332">
        <v>3</v>
      </c>
      <c r="F25" s="332">
        <v>30</v>
      </c>
      <c r="G25" s="332">
        <v>3</v>
      </c>
      <c r="H25" s="332">
        <f t="shared" ref="H25:H29" si="9">F25*G25</f>
        <v>90</v>
      </c>
      <c r="I25" s="332">
        <f t="shared" ref="I25:I27" si="10">H25*E25</f>
        <v>270</v>
      </c>
      <c r="J25" s="345">
        <v>8.64</v>
      </c>
      <c r="K25" s="343" t="s">
        <v>712</v>
      </c>
      <c r="L25" s="346" t="s">
        <v>707</v>
      </c>
    </row>
    <row r="26" spans="1:12" ht="24">
      <c r="A26" s="328">
        <f t="shared" si="3"/>
        <v>19</v>
      </c>
      <c r="B26" s="348"/>
      <c r="C26" s="343" t="s">
        <v>1261</v>
      </c>
      <c r="D26" s="353" t="s">
        <v>718</v>
      </c>
      <c r="E26" s="332">
        <v>3</v>
      </c>
      <c r="F26" s="332">
        <v>16</v>
      </c>
      <c r="G26" s="332">
        <v>4</v>
      </c>
      <c r="H26" s="332">
        <f t="shared" si="9"/>
        <v>64</v>
      </c>
      <c r="I26" s="332">
        <f t="shared" si="10"/>
        <v>192</v>
      </c>
      <c r="J26" s="345">
        <v>5.76</v>
      </c>
      <c r="K26" s="343" t="s">
        <v>712</v>
      </c>
      <c r="L26" s="346" t="s">
        <v>707</v>
      </c>
    </row>
    <row r="27" spans="1:12" ht="36">
      <c r="A27" s="328">
        <f t="shared" si="3"/>
        <v>20</v>
      </c>
      <c r="B27" s="354"/>
      <c r="C27" s="355" t="s">
        <v>1263</v>
      </c>
      <c r="D27" s="344" t="s">
        <v>242</v>
      </c>
      <c r="E27" s="356">
        <v>3</v>
      </c>
      <c r="F27" s="356">
        <v>20</v>
      </c>
      <c r="G27" s="356">
        <v>1</v>
      </c>
      <c r="H27" s="356">
        <f t="shared" si="9"/>
        <v>20</v>
      </c>
      <c r="I27" s="356">
        <f t="shared" si="10"/>
        <v>60</v>
      </c>
      <c r="J27" s="357">
        <v>1.5</v>
      </c>
      <c r="K27" s="358" t="s">
        <v>593</v>
      </c>
      <c r="L27" s="352"/>
    </row>
    <row r="28" spans="1:12" ht="42" customHeight="1">
      <c r="A28" s="328">
        <f t="shared" si="3"/>
        <v>21</v>
      </c>
      <c r="B28" s="354">
        <v>21</v>
      </c>
      <c r="C28" s="359" t="s">
        <v>1264</v>
      </c>
      <c r="D28" s="344" t="s">
        <v>244</v>
      </c>
      <c r="E28" s="356">
        <v>2</v>
      </c>
      <c r="F28" s="356">
        <v>25</v>
      </c>
      <c r="G28" s="356">
        <v>3</v>
      </c>
      <c r="H28" s="356">
        <f t="shared" si="9"/>
        <v>75</v>
      </c>
      <c r="I28" s="356">
        <f>H28*E28</f>
        <v>150</v>
      </c>
      <c r="J28" s="357">
        <v>2.25</v>
      </c>
      <c r="K28" s="358" t="s">
        <v>594</v>
      </c>
      <c r="L28" s="352"/>
    </row>
    <row r="29" spans="1:12" ht="48">
      <c r="A29" s="328">
        <f t="shared" si="3"/>
        <v>22</v>
      </c>
      <c r="B29" s="354" t="s">
        <v>598</v>
      </c>
      <c r="C29" s="359" t="s">
        <v>1265</v>
      </c>
      <c r="D29" s="344" t="s">
        <v>246</v>
      </c>
      <c r="E29" s="356">
        <v>3</v>
      </c>
      <c r="F29" s="356">
        <v>30</v>
      </c>
      <c r="G29" s="356">
        <v>3</v>
      </c>
      <c r="H29" s="356">
        <f t="shared" si="9"/>
        <v>90</v>
      </c>
      <c r="I29" s="356">
        <f>H29*E29</f>
        <v>270</v>
      </c>
      <c r="J29" s="357">
        <v>8</v>
      </c>
      <c r="K29" s="358" t="s">
        <v>594</v>
      </c>
      <c r="L29" s="360" t="s">
        <v>599</v>
      </c>
    </row>
    <row r="30" spans="1:12" ht="20.25">
      <c r="A30" s="363" t="s">
        <v>321</v>
      </c>
      <c r="B30" s="363"/>
      <c r="C30" s="363"/>
      <c r="D30" s="363"/>
      <c r="E30" s="363"/>
      <c r="F30" s="363"/>
      <c r="G30" s="363"/>
      <c r="H30" s="363"/>
      <c r="I30" s="363"/>
      <c r="J30" s="363"/>
      <c r="K30" s="364"/>
      <c r="L30" s="363"/>
    </row>
    <row r="31" spans="1:12">
      <c r="A31" s="328">
        <v>1</v>
      </c>
      <c r="B31" s="365" t="s">
        <v>952</v>
      </c>
      <c r="C31" s="366" t="s">
        <v>247</v>
      </c>
      <c r="D31" s="344" t="s">
        <v>30</v>
      </c>
      <c r="E31" s="328">
        <v>2</v>
      </c>
      <c r="F31" s="328">
        <v>35</v>
      </c>
      <c r="G31" s="328">
        <v>4</v>
      </c>
      <c r="H31" s="328">
        <v>140</v>
      </c>
      <c r="I31" s="328">
        <f>H31*E31</f>
        <v>280</v>
      </c>
      <c r="J31" s="367">
        <v>2.8</v>
      </c>
      <c r="K31" s="328" t="s">
        <v>12</v>
      </c>
      <c r="L31" s="368" t="s">
        <v>570</v>
      </c>
    </row>
    <row r="32" spans="1:12">
      <c r="A32" s="328">
        <f>A31+1</f>
        <v>2</v>
      </c>
      <c r="B32" s="365" t="s">
        <v>953</v>
      </c>
      <c r="C32" s="366" t="s">
        <v>569</v>
      </c>
      <c r="D32" s="344" t="s">
        <v>571</v>
      </c>
      <c r="E32" s="328">
        <v>1</v>
      </c>
      <c r="F32" s="328">
        <v>15</v>
      </c>
      <c r="G32" s="328">
        <v>1</v>
      </c>
      <c r="H32" s="328">
        <v>15</v>
      </c>
      <c r="I32" s="328">
        <f t="shared" ref="I32:I34" si="11">H32*E32</f>
        <v>15</v>
      </c>
      <c r="J32" s="367">
        <v>0.6</v>
      </c>
      <c r="K32" s="328" t="s">
        <v>12</v>
      </c>
      <c r="L32" s="369">
        <v>41497</v>
      </c>
    </row>
    <row r="33" spans="1:13">
      <c r="A33" s="328">
        <v>3</v>
      </c>
      <c r="B33" s="365" t="s">
        <v>937</v>
      </c>
      <c r="C33" s="366" t="s">
        <v>1293</v>
      </c>
      <c r="D33" s="344" t="s">
        <v>1294</v>
      </c>
      <c r="E33" s="328">
        <v>5</v>
      </c>
      <c r="F33" s="328">
        <v>16</v>
      </c>
      <c r="G33" s="328">
        <v>1</v>
      </c>
      <c r="H33" s="328">
        <v>16</v>
      </c>
      <c r="I33" s="328">
        <v>80</v>
      </c>
      <c r="J33" s="367">
        <v>2.6</v>
      </c>
      <c r="K33" s="328" t="s">
        <v>296</v>
      </c>
      <c r="L33" s="369">
        <v>41518</v>
      </c>
    </row>
    <row r="34" spans="1:13">
      <c r="A34" s="328">
        <v>4</v>
      </c>
      <c r="B34" s="366" t="s">
        <v>951</v>
      </c>
      <c r="C34" s="366" t="s">
        <v>950</v>
      </c>
      <c r="D34" s="344" t="s">
        <v>30</v>
      </c>
      <c r="E34" s="328">
        <v>1</v>
      </c>
      <c r="F34" s="328">
        <v>35</v>
      </c>
      <c r="G34" s="328">
        <v>1</v>
      </c>
      <c r="H34" s="328">
        <v>35</v>
      </c>
      <c r="I34" s="328">
        <f t="shared" si="11"/>
        <v>35</v>
      </c>
      <c r="J34" s="367">
        <v>2</v>
      </c>
      <c r="K34" s="328" t="s">
        <v>337</v>
      </c>
      <c r="L34" s="369">
        <v>41557</v>
      </c>
    </row>
    <row r="35" spans="1:13" s="569" customFormat="1" ht="20.25">
      <c r="A35" s="370"/>
      <c r="B35" s="370"/>
      <c r="C35" s="371" t="s">
        <v>1498</v>
      </c>
      <c r="D35" s="370"/>
      <c r="E35" s="370"/>
      <c r="F35" s="370"/>
      <c r="G35" s="371">
        <f>SUM(G31:G34)</f>
        <v>7</v>
      </c>
      <c r="H35" s="371">
        <f>SUM(H31:H34)</f>
        <v>206</v>
      </c>
      <c r="I35" s="371">
        <f>SUM(I31:I34)</f>
        <v>410</v>
      </c>
      <c r="J35" s="372">
        <f>SUM(J31:J34)</f>
        <v>8</v>
      </c>
      <c r="K35" s="370"/>
      <c r="L35" s="370"/>
      <c r="M35" s="568"/>
    </row>
    <row r="36" spans="1:13" ht="20.25">
      <c r="A36" s="363" t="s">
        <v>363</v>
      </c>
      <c r="B36" s="363"/>
      <c r="C36" s="363"/>
      <c r="D36" s="363"/>
      <c r="E36" s="363"/>
      <c r="F36" s="363"/>
      <c r="G36" s="363"/>
      <c r="H36" s="363"/>
      <c r="I36" s="363"/>
      <c r="J36" s="363"/>
      <c r="K36" s="363"/>
      <c r="L36" s="363"/>
    </row>
    <row r="37" spans="1:13" s="571" customFormat="1" ht="24">
      <c r="A37" s="328">
        <v>1</v>
      </c>
      <c r="B37" s="366" t="s">
        <v>402</v>
      </c>
      <c r="C37" s="366" t="s">
        <v>567</v>
      </c>
      <c r="D37" s="373" t="s">
        <v>1177</v>
      </c>
      <c r="E37" s="328">
        <v>3</v>
      </c>
      <c r="F37" s="328">
        <v>25</v>
      </c>
      <c r="G37" s="328">
        <v>1</v>
      </c>
      <c r="H37" s="328">
        <f>G37*F37</f>
        <v>25</v>
      </c>
      <c r="I37" s="328">
        <f>H37*E37</f>
        <v>75</v>
      </c>
      <c r="J37" s="367">
        <v>3</v>
      </c>
      <c r="K37" s="328" t="s">
        <v>296</v>
      </c>
      <c r="L37" s="366" t="s">
        <v>568</v>
      </c>
      <c r="M37" s="570"/>
    </row>
    <row r="38" spans="1:13" s="571" customFormat="1" ht="29.25">
      <c r="A38" s="328">
        <v>2</v>
      </c>
      <c r="B38" s="366" t="s">
        <v>402</v>
      </c>
      <c r="C38" s="366" t="s">
        <v>567</v>
      </c>
      <c r="D38" s="373" t="s">
        <v>1178</v>
      </c>
      <c r="E38" s="328">
        <v>3</v>
      </c>
      <c r="F38" s="328">
        <v>25</v>
      </c>
      <c r="G38" s="328">
        <v>1</v>
      </c>
      <c r="H38" s="328">
        <f>G38*F38</f>
        <v>25</v>
      </c>
      <c r="I38" s="328">
        <f>H38*E38</f>
        <v>75</v>
      </c>
      <c r="J38" s="367">
        <v>3</v>
      </c>
      <c r="K38" s="328" t="s">
        <v>296</v>
      </c>
      <c r="L38" s="366" t="s">
        <v>568</v>
      </c>
      <c r="M38" s="570"/>
    </row>
    <row r="39" spans="1:13" s="571" customFormat="1" ht="24">
      <c r="A39" s="328">
        <v>3</v>
      </c>
      <c r="B39" s="366" t="s">
        <v>402</v>
      </c>
      <c r="C39" s="366" t="s">
        <v>567</v>
      </c>
      <c r="D39" s="373" t="s">
        <v>1179</v>
      </c>
      <c r="E39" s="328">
        <v>3</v>
      </c>
      <c r="F39" s="328">
        <v>25</v>
      </c>
      <c r="G39" s="328">
        <v>1</v>
      </c>
      <c r="H39" s="328">
        <f>G39*F39</f>
        <v>25</v>
      </c>
      <c r="I39" s="328">
        <f>H39*E39</f>
        <v>75</v>
      </c>
      <c r="J39" s="367">
        <v>3</v>
      </c>
      <c r="K39" s="328" t="s">
        <v>296</v>
      </c>
      <c r="L39" s="366" t="s">
        <v>568</v>
      </c>
      <c r="M39" s="570"/>
    </row>
    <row r="40" spans="1:13" ht="20.25">
      <c r="A40" s="374"/>
      <c r="B40" s="860" t="s">
        <v>1499</v>
      </c>
      <c r="C40" s="860"/>
      <c r="D40" s="374"/>
      <c r="E40" s="374"/>
      <c r="F40" s="374"/>
      <c r="G40" s="371">
        <f>SUM(G37:G39)</f>
        <v>3</v>
      </c>
      <c r="H40" s="371">
        <f t="shared" ref="H40:J40" si="12">SUM(H37:H39)</f>
        <v>75</v>
      </c>
      <c r="I40" s="371">
        <f t="shared" si="12"/>
        <v>225</v>
      </c>
      <c r="J40" s="372">
        <f t="shared" si="12"/>
        <v>9</v>
      </c>
      <c r="K40" s="374"/>
      <c r="L40" s="374"/>
    </row>
    <row r="41" spans="1:13" ht="24" customHeight="1">
      <c r="A41" s="363" t="s">
        <v>1511</v>
      </c>
      <c r="B41" s="363"/>
      <c r="C41" s="363"/>
      <c r="D41" s="363"/>
      <c r="E41" s="363"/>
      <c r="F41" s="363"/>
      <c r="G41" s="363"/>
      <c r="H41" s="363"/>
      <c r="I41" s="363"/>
      <c r="J41" s="363"/>
      <c r="K41" s="363"/>
      <c r="L41" s="363"/>
    </row>
    <row r="42" spans="1:13" s="694" customFormat="1" ht="15.75" customHeight="1">
      <c r="A42" s="865" t="s">
        <v>1366</v>
      </c>
      <c r="B42" s="866"/>
      <c r="C42" s="866"/>
      <c r="D42" s="866"/>
      <c r="E42" s="866"/>
      <c r="F42" s="866"/>
      <c r="G42" s="866"/>
      <c r="H42" s="866"/>
      <c r="I42" s="866"/>
      <c r="J42" s="866"/>
      <c r="K42" s="866"/>
      <c r="L42" s="866"/>
      <c r="M42" s="693"/>
    </row>
    <row r="43" spans="1:13" s="694" customFormat="1" ht="15.75" customHeight="1">
      <c r="A43" s="867" t="s">
        <v>1367</v>
      </c>
      <c r="B43" s="868"/>
      <c r="C43" s="868"/>
      <c r="D43" s="868"/>
      <c r="E43" s="868"/>
      <c r="F43" s="868"/>
      <c r="G43" s="868"/>
      <c r="H43" s="868"/>
      <c r="I43" s="868"/>
      <c r="J43" s="868"/>
      <c r="K43" s="868"/>
      <c r="L43" s="868"/>
      <c r="M43" s="693"/>
    </row>
    <row r="44" spans="1:13" s="694" customFormat="1" ht="24">
      <c r="A44" s="695" t="s">
        <v>672</v>
      </c>
      <c r="B44" s="714" t="s">
        <v>1368</v>
      </c>
      <c r="C44" s="696" t="s">
        <v>1369</v>
      </c>
      <c r="D44" s="697" t="s">
        <v>1370</v>
      </c>
      <c r="E44" s="698"/>
      <c r="F44" s="698"/>
      <c r="G44" s="699">
        <v>1</v>
      </c>
      <c r="H44" s="700"/>
      <c r="I44" s="700"/>
      <c r="J44" s="701">
        <v>1.26</v>
      </c>
      <c r="K44" s="702"/>
      <c r="L44" s="703" t="s">
        <v>1371</v>
      </c>
      <c r="M44" s="693"/>
    </row>
    <row r="45" spans="1:13" s="694" customFormat="1" ht="36">
      <c r="A45" s="695" t="s">
        <v>523</v>
      </c>
      <c r="B45" s="714" t="s">
        <v>1372</v>
      </c>
      <c r="C45" s="696" t="s">
        <v>1373</v>
      </c>
      <c r="D45" s="697" t="s">
        <v>1374</v>
      </c>
      <c r="E45" s="698"/>
      <c r="F45" s="698"/>
      <c r="G45" s="699">
        <v>6</v>
      </c>
      <c r="H45" s="700"/>
      <c r="I45" s="700"/>
      <c r="J45" s="701" t="s">
        <v>1375</v>
      </c>
      <c r="K45" s="700"/>
      <c r="L45" s="703" t="s">
        <v>1376</v>
      </c>
      <c r="M45" s="693"/>
    </row>
    <row r="46" spans="1:13" s="694" customFormat="1" ht="24">
      <c r="A46" s="695" t="s">
        <v>681</v>
      </c>
      <c r="B46" s="714" t="s">
        <v>1377</v>
      </c>
      <c r="C46" s="696" t="s">
        <v>1378</v>
      </c>
      <c r="D46" s="697" t="s">
        <v>1379</v>
      </c>
      <c r="E46" s="698"/>
      <c r="F46" s="698"/>
      <c r="G46" s="699">
        <v>6</v>
      </c>
      <c r="H46" s="700"/>
      <c r="I46" s="700"/>
      <c r="J46" s="701" t="s">
        <v>1375</v>
      </c>
      <c r="K46" s="700"/>
      <c r="L46" s="703" t="s">
        <v>1380</v>
      </c>
      <c r="M46" s="693"/>
    </row>
    <row r="47" spans="1:13" s="694" customFormat="1" ht="24.75" thickBot="1">
      <c r="A47" s="695" t="s">
        <v>1381</v>
      </c>
      <c r="B47" s="714" t="s">
        <v>1382</v>
      </c>
      <c r="C47" s="696" t="s">
        <v>1383</v>
      </c>
      <c r="D47" s="697" t="s">
        <v>1384</v>
      </c>
      <c r="E47" s="698"/>
      <c r="F47" s="698"/>
      <c r="G47" s="699">
        <v>5</v>
      </c>
      <c r="H47" s="700"/>
      <c r="I47" s="700"/>
      <c r="J47" s="701">
        <v>1.1225000000000001</v>
      </c>
      <c r="K47" s="700"/>
      <c r="L47" s="703" t="s">
        <v>1385</v>
      </c>
      <c r="M47" s="693"/>
    </row>
    <row r="48" spans="1:13" s="717" customFormat="1" ht="15.75" customHeight="1" thickBot="1">
      <c r="A48" s="871" t="s">
        <v>1492</v>
      </c>
      <c r="B48" s="872"/>
      <c r="C48" s="873"/>
      <c r="D48" s="721"/>
      <c r="E48" s="719"/>
      <c r="F48" s="719"/>
      <c r="G48" s="722">
        <f>SUM(G44:G47)</f>
        <v>18</v>
      </c>
      <c r="H48" s="719"/>
      <c r="I48" s="719"/>
      <c r="J48" s="723">
        <f>SUM(J44:J47)</f>
        <v>2.3825000000000003</v>
      </c>
      <c r="K48" s="719"/>
      <c r="L48" s="724"/>
      <c r="M48" s="716"/>
    </row>
    <row r="49" spans="1:13" s="694" customFormat="1" ht="15.75" customHeight="1">
      <c r="A49" s="869" t="s">
        <v>1386</v>
      </c>
      <c r="B49" s="869"/>
      <c r="C49" s="869"/>
      <c r="D49" s="869"/>
      <c r="E49" s="869"/>
      <c r="F49" s="869"/>
      <c r="G49" s="869"/>
      <c r="H49" s="869"/>
      <c r="I49" s="869"/>
      <c r="J49" s="869"/>
      <c r="K49" s="869"/>
      <c r="L49" s="870"/>
      <c r="M49" s="693"/>
    </row>
    <row r="50" spans="1:13" s="694" customFormat="1" ht="24">
      <c r="A50" s="695" t="s">
        <v>1387</v>
      </c>
      <c r="B50" s="714" t="s">
        <v>1388</v>
      </c>
      <c r="C50" s="696" t="s">
        <v>1389</v>
      </c>
      <c r="D50" s="696" t="s">
        <v>1390</v>
      </c>
      <c r="E50" s="698"/>
      <c r="F50" s="698"/>
      <c r="G50" s="699">
        <v>9</v>
      </c>
      <c r="H50" s="700"/>
      <c r="I50" s="700"/>
      <c r="J50" s="701">
        <v>4.4370000000000003</v>
      </c>
      <c r="K50" s="700"/>
      <c r="L50" s="703" t="s">
        <v>1391</v>
      </c>
      <c r="M50" s="693"/>
    </row>
    <row r="51" spans="1:13" s="694" customFormat="1" ht="24">
      <c r="A51" s="695" t="s">
        <v>1392</v>
      </c>
      <c r="B51" s="714" t="s">
        <v>1393</v>
      </c>
      <c r="C51" s="696" t="s">
        <v>1394</v>
      </c>
      <c r="D51" s="696" t="s">
        <v>1395</v>
      </c>
      <c r="E51" s="704"/>
      <c r="F51" s="704"/>
      <c r="G51" s="699">
        <v>5</v>
      </c>
      <c r="H51" s="705"/>
      <c r="I51" s="705"/>
      <c r="J51" s="701" t="s">
        <v>1396</v>
      </c>
      <c r="K51" s="705"/>
      <c r="L51" s="703" t="s">
        <v>1385</v>
      </c>
      <c r="M51" s="693"/>
    </row>
    <row r="52" spans="1:13" s="694" customFormat="1" ht="36">
      <c r="A52" s="695" t="s">
        <v>1397</v>
      </c>
      <c r="B52" s="714" t="s">
        <v>1398</v>
      </c>
      <c r="C52" s="696" t="s">
        <v>1399</v>
      </c>
      <c r="D52" s="696" t="s">
        <v>1400</v>
      </c>
      <c r="E52" s="704"/>
      <c r="F52" s="704"/>
      <c r="G52" s="699">
        <v>20</v>
      </c>
      <c r="H52" s="705"/>
      <c r="I52" s="705"/>
      <c r="J52" s="701">
        <v>4.49</v>
      </c>
      <c r="K52" s="705"/>
      <c r="L52" s="703" t="s">
        <v>1391</v>
      </c>
      <c r="M52" s="693"/>
    </row>
    <row r="53" spans="1:13" s="694" customFormat="1" ht="48">
      <c r="A53" s="695" t="s">
        <v>1401</v>
      </c>
      <c r="B53" s="714" t="s">
        <v>1402</v>
      </c>
      <c r="C53" s="696" t="s">
        <v>1403</v>
      </c>
      <c r="D53" s="696" t="s">
        <v>1404</v>
      </c>
      <c r="E53" s="704"/>
      <c r="F53" s="704"/>
      <c r="G53" s="699">
        <v>30</v>
      </c>
      <c r="H53" s="705"/>
      <c r="I53" s="705"/>
      <c r="J53" s="701">
        <v>14.79</v>
      </c>
      <c r="K53" s="705"/>
      <c r="L53" s="703" t="s">
        <v>1391</v>
      </c>
      <c r="M53" s="693"/>
    </row>
    <row r="54" spans="1:13" s="694" customFormat="1" ht="24.75" thickBot="1">
      <c r="A54" s="695" t="s">
        <v>674</v>
      </c>
      <c r="B54" s="714" t="s">
        <v>1405</v>
      </c>
      <c r="C54" s="696" t="s">
        <v>1406</v>
      </c>
      <c r="D54" s="696" t="s">
        <v>30</v>
      </c>
      <c r="E54" s="704"/>
      <c r="F54" s="704"/>
      <c r="G54" s="699">
        <v>6</v>
      </c>
      <c r="H54" s="705"/>
      <c r="I54" s="705"/>
      <c r="J54" s="701">
        <v>3.2040000000000002</v>
      </c>
      <c r="K54" s="705"/>
      <c r="L54" s="703" t="s">
        <v>1407</v>
      </c>
      <c r="M54" s="693"/>
    </row>
    <row r="55" spans="1:13" s="717" customFormat="1" ht="13.5" thickBot="1">
      <c r="A55" s="871" t="s">
        <v>1492</v>
      </c>
      <c r="B55" s="872"/>
      <c r="C55" s="873"/>
      <c r="D55" s="725"/>
      <c r="E55" s="726"/>
      <c r="F55" s="726"/>
      <c r="G55" s="727">
        <f>SUM(G50:G54)</f>
        <v>70</v>
      </c>
      <c r="H55" s="726"/>
      <c r="I55" s="726"/>
      <c r="J55" s="728">
        <f>SUM(J50:J54)</f>
        <v>26.920999999999999</v>
      </c>
      <c r="K55" s="726"/>
      <c r="L55" s="729"/>
      <c r="M55" s="716"/>
    </row>
    <row r="56" spans="1:13" s="694" customFormat="1" ht="15.75" customHeight="1">
      <c r="A56" s="870" t="s">
        <v>1408</v>
      </c>
      <c r="B56" s="879"/>
      <c r="C56" s="879"/>
      <c r="D56" s="879"/>
      <c r="E56" s="879"/>
      <c r="F56" s="879"/>
      <c r="G56" s="879"/>
      <c r="H56" s="879"/>
      <c r="I56" s="879"/>
      <c r="J56" s="879"/>
      <c r="K56" s="879"/>
      <c r="L56" s="879"/>
      <c r="M56" s="693"/>
    </row>
    <row r="57" spans="1:13" s="694" customFormat="1" ht="24">
      <c r="A57" s="706" t="s">
        <v>1409</v>
      </c>
      <c r="B57" s="715" t="s">
        <v>1410</v>
      </c>
      <c r="C57" s="696" t="s">
        <v>1411</v>
      </c>
      <c r="D57" s="696" t="s">
        <v>1412</v>
      </c>
      <c r="E57" s="706"/>
      <c r="F57" s="706"/>
      <c r="G57" s="699">
        <v>2</v>
      </c>
      <c r="H57" s="707"/>
      <c r="I57" s="707"/>
      <c r="J57" s="701">
        <v>0.5</v>
      </c>
      <c r="K57" s="707"/>
      <c r="L57" s="708" t="s">
        <v>1413</v>
      </c>
      <c r="M57" s="693"/>
    </row>
    <row r="58" spans="1:13" s="694" customFormat="1" ht="24">
      <c r="A58" s="706" t="s">
        <v>1414</v>
      </c>
      <c r="B58" s="715" t="s">
        <v>1415</v>
      </c>
      <c r="C58" s="696" t="s">
        <v>1416</v>
      </c>
      <c r="D58" s="696" t="s">
        <v>1412</v>
      </c>
      <c r="E58" s="706"/>
      <c r="F58" s="706"/>
      <c r="G58" s="699">
        <v>2</v>
      </c>
      <c r="H58" s="707"/>
      <c r="I58" s="707"/>
      <c r="J58" s="701">
        <v>2</v>
      </c>
      <c r="K58" s="707"/>
      <c r="L58" s="708" t="s">
        <v>1413</v>
      </c>
      <c r="M58" s="693"/>
    </row>
    <row r="59" spans="1:13" s="694" customFormat="1" ht="24.75" thickBot="1">
      <c r="A59" s="706" t="s">
        <v>1417</v>
      </c>
      <c r="B59" s="715" t="s">
        <v>1418</v>
      </c>
      <c r="C59" s="696" t="s">
        <v>1419</v>
      </c>
      <c r="D59" s="696" t="s">
        <v>1412</v>
      </c>
      <c r="E59" s="706"/>
      <c r="F59" s="706"/>
      <c r="G59" s="699">
        <v>1</v>
      </c>
      <c r="H59" s="707"/>
      <c r="I59" s="707"/>
      <c r="J59" s="701">
        <v>1.64</v>
      </c>
      <c r="K59" s="707"/>
      <c r="L59" s="708" t="s">
        <v>1413</v>
      </c>
      <c r="M59" s="693"/>
    </row>
    <row r="60" spans="1:13" s="717" customFormat="1" ht="13.5" thickBot="1">
      <c r="A60" s="871" t="s">
        <v>1492</v>
      </c>
      <c r="B60" s="872"/>
      <c r="C60" s="873"/>
      <c r="D60" s="725"/>
      <c r="E60" s="730"/>
      <c r="F60" s="730"/>
      <c r="G60" s="727">
        <f>SUM(G57:G59)</f>
        <v>5</v>
      </c>
      <c r="H60" s="730"/>
      <c r="I60" s="730"/>
      <c r="J60" s="728">
        <f>SUM(J57:J59)</f>
        <v>4.1399999999999997</v>
      </c>
      <c r="K60" s="730"/>
      <c r="L60" s="730"/>
      <c r="M60" s="716"/>
    </row>
    <row r="61" spans="1:13" s="694" customFormat="1" ht="15.75" customHeight="1">
      <c r="A61" s="880" t="s">
        <v>1420</v>
      </c>
      <c r="B61" s="881"/>
      <c r="C61" s="881"/>
      <c r="D61" s="881"/>
      <c r="E61" s="881"/>
      <c r="F61" s="881"/>
      <c r="G61" s="881"/>
      <c r="H61" s="881"/>
      <c r="I61" s="881"/>
      <c r="J61" s="881"/>
      <c r="K61" s="881"/>
      <c r="L61" s="881"/>
      <c r="M61" s="693"/>
    </row>
    <row r="62" spans="1:13" s="694" customFormat="1" ht="15.75" customHeight="1">
      <c r="A62" s="880" t="s">
        <v>1421</v>
      </c>
      <c r="B62" s="881"/>
      <c r="C62" s="881"/>
      <c r="D62" s="881"/>
      <c r="E62" s="881"/>
      <c r="F62" s="881"/>
      <c r="G62" s="881"/>
      <c r="H62" s="881"/>
      <c r="I62" s="881"/>
      <c r="J62" s="881"/>
      <c r="K62" s="881"/>
      <c r="L62" s="882"/>
      <c r="M62" s="693"/>
    </row>
    <row r="63" spans="1:13" s="694" customFormat="1" ht="24">
      <c r="A63" s="709" t="s">
        <v>1422</v>
      </c>
      <c r="B63" s="707" t="s">
        <v>1423</v>
      </c>
      <c r="C63" s="710" t="s">
        <v>1424</v>
      </c>
      <c r="D63" s="696" t="s">
        <v>1425</v>
      </c>
      <c r="E63" s="698"/>
      <c r="F63" s="698"/>
      <c r="G63" s="699">
        <v>3</v>
      </c>
      <c r="H63" s="700"/>
      <c r="I63" s="700"/>
      <c r="J63" s="701">
        <v>1.4790000000000001</v>
      </c>
      <c r="K63" s="700"/>
      <c r="L63" s="711" t="s">
        <v>1426</v>
      </c>
      <c r="M63" s="693"/>
    </row>
    <row r="64" spans="1:13" s="694" customFormat="1" ht="36">
      <c r="A64" s="695" t="s">
        <v>1427</v>
      </c>
      <c r="B64" s="706" t="s">
        <v>1402</v>
      </c>
      <c r="C64" s="696" t="s">
        <v>1428</v>
      </c>
      <c r="D64" s="696" t="s">
        <v>1429</v>
      </c>
      <c r="E64" s="698"/>
      <c r="F64" s="698"/>
      <c r="G64" s="699">
        <v>3</v>
      </c>
      <c r="H64" s="700"/>
      <c r="I64" s="700"/>
      <c r="J64" s="701">
        <v>1.0694999999999999</v>
      </c>
      <c r="K64" s="700"/>
      <c r="L64" s="711" t="s">
        <v>1430</v>
      </c>
      <c r="M64" s="693"/>
    </row>
    <row r="65" spans="1:13" s="694" customFormat="1" ht="60">
      <c r="A65" s="695" t="s">
        <v>1431</v>
      </c>
      <c r="B65" s="706" t="s">
        <v>1405</v>
      </c>
      <c r="C65" s="696" t="s">
        <v>1432</v>
      </c>
      <c r="D65" s="710" t="s">
        <v>1433</v>
      </c>
      <c r="E65" s="698"/>
      <c r="F65" s="698"/>
      <c r="G65" s="699">
        <v>6</v>
      </c>
      <c r="H65" s="700"/>
      <c r="I65" s="700"/>
      <c r="J65" s="701">
        <v>2.1389999999999998</v>
      </c>
      <c r="K65" s="700"/>
      <c r="L65" s="712" t="s">
        <v>1434</v>
      </c>
      <c r="M65" s="693"/>
    </row>
    <row r="66" spans="1:13" s="694" customFormat="1" ht="50.25" customHeight="1" thickBot="1">
      <c r="A66" s="695" t="s">
        <v>1435</v>
      </c>
      <c r="B66" s="706" t="s">
        <v>1410</v>
      </c>
      <c r="C66" s="696" t="s">
        <v>1493</v>
      </c>
      <c r="D66" s="710" t="s">
        <v>1436</v>
      </c>
      <c r="E66" s="698"/>
      <c r="F66" s="698"/>
      <c r="G66" s="699">
        <v>3</v>
      </c>
      <c r="H66" s="700"/>
      <c r="I66" s="700"/>
      <c r="J66" s="701">
        <v>1.0694999999999999</v>
      </c>
      <c r="K66" s="700"/>
      <c r="L66" s="711" t="s">
        <v>1437</v>
      </c>
      <c r="M66" s="693"/>
    </row>
    <row r="67" spans="1:13" s="717" customFormat="1" ht="13.5" thickBot="1">
      <c r="A67" s="871" t="s">
        <v>1492</v>
      </c>
      <c r="B67" s="872"/>
      <c r="C67" s="873"/>
      <c r="D67" s="725"/>
      <c r="E67" s="729"/>
      <c r="F67" s="729"/>
      <c r="G67" s="727">
        <f>SUM(G63:G66)</f>
        <v>15</v>
      </c>
      <c r="H67" s="729"/>
      <c r="I67" s="729"/>
      <c r="J67" s="728">
        <f>SUM(J63:J66)</f>
        <v>5.7569999999999997</v>
      </c>
      <c r="K67" s="729"/>
      <c r="L67" s="731"/>
      <c r="M67" s="716"/>
    </row>
    <row r="68" spans="1:13" s="694" customFormat="1" ht="15.75" customHeight="1">
      <c r="A68" s="880" t="s">
        <v>1438</v>
      </c>
      <c r="B68" s="881"/>
      <c r="C68" s="881"/>
      <c r="D68" s="881"/>
      <c r="E68" s="881"/>
      <c r="F68" s="881"/>
      <c r="G68" s="881"/>
      <c r="H68" s="881"/>
      <c r="I68" s="881"/>
      <c r="J68" s="881"/>
      <c r="K68" s="881"/>
      <c r="L68" s="881"/>
      <c r="M68" s="693"/>
    </row>
    <row r="69" spans="1:13" s="694" customFormat="1" ht="24">
      <c r="A69" s="695" t="s">
        <v>1439</v>
      </c>
      <c r="B69" s="706" t="s">
        <v>1415</v>
      </c>
      <c r="C69" s="696" t="s">
        <v>1440</v>
      </c>
      <c r="D69" s="710" t="s">
        <v>1441</v>
      </c>
      <c r="E69" s="698"/>
      <c r="F69" s="698"/>
      <c r="G69" s="699">
        <v>6</v>
      </c>
      <c r="H69" s="700"/>
      <c r="I69" s="700"/>
      <c r="J69" s="701">
        <v>2.1389999999999998</v>
      </c>
      <c r="K69" s="700"/>
      <c r="L69" s="711" t="s">
        <v>1442</v>
      </c>
      <c r="M69" s="693"/>
    </row>
    <row r="70" spans="1:13" ht="24">
      <c r="A70" s="695" t="s">
        <v>1443</v>
      </c>
      <c r="B70" s="706" t="s">
        <v>1444</v>
      </c>
      <c r="C70" s="696" t="s">
        <v>1445</v>
      </c>
      <c r="D70" s="710" t="s">
        <v>1441</v>
      </c>
      <c r="E70" s="698"/>
      <c r="F70" s="698"/>
      <c r="G70" s="699">
        <v>3</v>
      </c>
      <c r="H70" s="700"/>
      <c r="I70" s="700"/>
      <c r="J70" s="701">
        <v>1.0694999999999999</v>
      </c>
      <c r="K70" s="700"/>
      <c r="L70" s="711" t="s">
        <v>1446</v>
      </c>
    </row>
    <row r="71" spans="1:13" ht="48">
      <c r="A71" s="695" t="s">
        <v>1447</v>
      </c>
      <c r="B71" s="706" t="s">
        <v>1448</v>
      </c>
      <c r="C71" s="696" t="s">
        <v>1449</v>
      </c>
      <c r="D71" s="696" t="s">
        <v>1450</v>
      </c>
      <c r="E71" s="698"/>
      <c r="F71" s="698"/>
      <c r="G71" s="699">
        <v>6</v>
      </c>
      <c r="H71" s="700"/>
      <c r="I71" s="700"/>
      <c r="J71" s="701">
        <v>2.1389999999999998</v>
      </c>
      <c r="K71" s="700"/>
      <c r="L71" s="711" t="s">
        <v>1451</v>
      </c>
    </row>
    <row r="72" spans="1:13" ht="24.75" thickBot="1">
      <c r="A72" s="695" t="s">
        <v>1452</v>
      </c>
      <c r="B72" s="706" t="s">
        <v>1453</v>
      </c>
      <c r="C72" s="696" t="s">
        <v>1454</v>
      </c>
      <c r="D72" s="710" t="s">
        <v>1441</v>
      </c>
      <c r="E72" s="698"/>
      <c r="F72" s="698"/>
      <c r="G72" s="699">
        <v>2</v>
      </c>
      <c r="H72" s="700"/>
      <c r="I72" s="700"/>
      <c r="J72" s="701">
        <v>0.44900000000000001</v>
      </c>
      <c r="K72" s="700"/>
      <c r="L72" s="711" t="s">
        <v>1455</v>
      </c>
    </row>
    <row r="73" spans="1:13" s="569" customFormat="1" ht="13.5" customHeight="1" thickBot="1">
      <c r="A73" s="871" t="s">
        <v>1492</v>
      </c>
      <c r="B73" s="872"/>
      <c r="C73" s="873"/>
      <c r="D73" s="725"/>
      <c r="E73" s="729"/>
      <c r="F73" s="729"/>
      <c r="G73" s="727">
        <f>SUM(G69:G72)</f>
        <v>17</v>
      </c>
      <c r="H73" s="729"/>
      <c r="I73" s="729"/>
      <c r="J73" s="728">
        <f>SUM(J69:J72)</f>
        <v>5.7965</v>
      </c>
      <c r="K73" s="729"/>
      <c r="L73" s="731"/>
      <c r="M73" s="568"/>
    </row>
    <row r="74" spans="1:13">
      <c r="A74" s="880" t="s">
        <v>1456</v>
      </c>
      <c r="B74" s="881"/>
      <c r="C74" s="881"/>
      <c r="D74" s="881"/>
      <c r="E74" s="881"/>
      <c r="F74" s="881"/>
      <c r="G74" s="881"/>
      <c r="H74" s="881"/>
      <c r="I74" s="881"/>
      <c r="J74" s="881"/>
      <c r="K74" s="881"/>
      <c r="L74" s="881"/>
    </row>
    <row r="75" spans="1:13" ht="24">
      <c r="A75" s="695" t="s">
        <v>1457</v>
      </c>
      <c r="B75" s="706" t="s">
        <v>1458</v>
      </c>
      <c r="C75" s="696" t="s">
        <v>1459</v>
      </c>
      <c r="D75" s="696" t="s">
        <v>1460</v>
      </c>
      <c r="E75" s="698"/>
      <c r="F75" s="698"/>
      <c r="G75" s="699">
        <v>6</v>
      </c>
      <c r="H75" s="700"/>
      <c r="I75" s="700"/>
      <c r="J75" s="701">
        <v>3.6779999999999999</v>
      </c>
      <c r="K75" s="700"/>
      <c r="L75" s="711" t="s">
        <v>1461</v>
      </c>
    </row>
    <row r="76" spans="1:13" ht="24">
      <c r="A76" s="695" t="s">
        <v>1462</v>
      </c>
      <c r="B76" s="706" t="s">
        <v>1463</v>
      </c>
      <c r="C76" s="696" t="s">
        <v>1464</v>
      </c>
      <c r="D76" s="696" t="s">
        <v>1460</v>
      </c>
      <c r="E76" s="698"/>
      <c r="F76" s="698"/>
      <c r="G76" s="699">
        <v>9</v>
      </c>
      <c r="H76" s="700"/>
      <c r="I76" s="700"/>
      <c r="J76" s="701">
        <v>4.4909999999999997</v>
      </c>
      <c r="K76" s="700"/>
      <c r="L76" s="711" t="s">
        <v>1465</v>
      </c>
    </row>
    <row r="77" spans="1:13" ht="24">
      <c r="A77" s="695" t="s">
        <v>1466</v>
      </c>
      <c r="B77" s="706" t="s">
        <v>1467</v>
      </c>
      <c r="C77" s="696" t="s">
        <v>1468</v>
      </c>
      <c r="D77" s="696" t="s">
        <v>1460</v>
      </c>
      <c r="E77" s="698"/>
      <c r="F77" s="698"/>
      <c r="G77" s="699">
        <v>9</v>
      </c>
      <c r="H77" s="700"/>
      <c r="I77" s="700"/>
      <c r="J77" s="701">
        <v>4.4370000000000003</v>
      </c>
      <c r="K77" s="700"/>
      <c r="L77" s="711" t="s">
        <v>1465</v>
      </c>
    </row>
    <row r="78" spans="1:13" ht="24">
      <c r="A78" s="695" t="s">
        <v>1469</v>
      </c>
      <c r="B78" s="706" t="s">
        <v>1470</v>
      </c>
      <c r="C78" s="696" t="s">
        <v>1471</v>
      </c>
      <c r="D78" s="696" t="s">
        <v>1460</v>
      </c>
      <c r="E78" s="698"/>
      <c r="F78" s="698"/>
      <c r="G78" s="699">
        <v>3</v>
      </c>
      <c r="H78" s="700"/>
      <c r="I78" s="700"/>
      <c r="J78" s="701">
        <v>1.0694999999999999</v>
      </c>
      <c r="K78" s="700"/>
      <c r="L78" s="711" t="s">
        <v>1461</v>
      </c>
    </row>
    <row r="79" spans="1:13" ht="24">
      <c r="A79" s="695" t="s">
        <v>1472</v>
      </c>
      <c r="B79" s="706" t="s">
        <v>1473</v>
      </c>
      <c r="C79" s="696" t="s">
        <v>1474</v>
      </c>
      <c r="D79" s="696" t="s">
        <v>1460</v>
      </c>
      <c r="E79" s="698"/>
      <c r="F79" s="698"/>
      <c r="G79" s="699">
        <v>3</v>
      </c>
      <c r="H79" s="700"/>
      <c r="I79" s="700"/>
      <c r="J79" s="701">
        <v>1.0694999999999999</v>
      </c>
      <c r="K79" s="700"/>
      <c r="L79" s="711" t="s">
        <v>1371</v>
      </c>
    </row>
    <row r="80" spans="1:13" ht="24.75" thickBot="1">
      <c r="A80" s="740" t="s">
        <v>1475</v>
      </c>
      <c r="B80" s="733" t="s">
        <v>1476</v>
      </c>
      <c r="C80" s="735" t="s">
        <v>1477</v>
      </c>
      <c r="D80" s="735" t="s">
        <v>1460</v>
      </c>
      <c r="E80" s="741"/>
      <c r="F80" s="741"/>
      <c r="G80" s="742">
        <v>9</v>
      </c>
      <c r="H80" s="741"/>
      <c r="I80" s="741"/>
      <c r="J80" s="743">
        <v>5.3517000000000001</v>
      </c>
      <c r="K80" s="741"/>
      <c r="L80" s="711" t="s">
        <v>1465</v>
      </c>
    </row>
    <row r="81" spans="1:13" s="569" customFormat="1" ht="13.5" thickBot="1">
      <c r="A81" s="871" t="s">
        <v>1492</v>
      </c>
      <c r="B81" s="872"/>
      <c r="C81" s="873"/>
      <c r="D81" s="720"/>
      <c r="E81" s="719"/>
      <c r="F81" s="719"/>
      <c r="G81" s="722">
        <f>SUM(G75:G80)</f>
        <v>39</v>
      </c>
      <c r="H81" s="719"/>
      <c r="I81" s="719"/>
      <c r="J81" s="723">
        <f>SUM(J75:J80)</f>
        <v>20.096700000000002</v>
      </c>
      <c r="K81" s="719"/>
      <c r="L81" s="718"/>
      <c r="M81" s="568"/>
    </row>
    <row r="82" spans="1:13">
      <c r="A82" s="874" t="s">
        <v>1478</v>
      </c>
      <c r="B82" s="874"/>
      <c r="C82" s="874"/>
      <c r="D82" s="874"/>
      <c r="E82" s="874"/>
      <c r="F82" s="874"/>
      <c r="G82" s="874"/>
      <c r="H82" s="874"/>
      <c r="I82" s="874"/>
      <c r="J82" s="874"/>
      <c r="K82" s="874"/>
      <c r="L82" s="875"/>
    </row>
    <row r="83" spans="1:13" ht="60">
      <c r="A83" s="695" t="s">
        <v>1479</v>
      </c>
      <c r="B83" s="706" t="s">
        <v>1480</v>
      </c>
      <c r="C83" s="713" t="s">
        <v>1481</v>
      </c>
      <c r="D83" s="710" t="s">
        <v>1482</v>
      </c>
      <c r="E83" s="698"/>
      <c r="F83" s="698"/>
      <c r="G83" s="699">
        <v>25</v>
      </c>
      <c r="H83" s="700"/>
      <c r="I83" s="700"/>
      <c r="J83" s="701">
        <v>8.75</v>
      </c>
      <c r="K83" s="700"/>
      <c r="L83" s="711" t="s">
        <v>1483</v>
      </c>
    </row>
    <row r="84" spans="1:13" ht="60">
      <c r="A84" s="695" t="s">
        <v>1484</v>
      </c>
      <c r="B84" s="706" t="s">
        <v>1485</v>
      </c>
      <c r="C84" s="713" t="s">
        <v>1486</v>
      </c>
      <c r="D84" s="710" t="s">
        <v>1482</v>
      </c>
      <c r="E84" s="698"/>
      <c r="F84" s="698"/>
      <c r="G84" s="699">
        <v>76</v>
      </c>
      <c r="H84" s="700"/>
      <c r="I84" s="700"/>
      <c r="J84" s="701">
        <v>26.6</v>
      </c>
      <c r="K84" s="700"/>
      <c r="L84" s="711" t="s">
        <v>1483</v>
      </c>
    </row>
    <row r="85" spans="1:13" ht="60.75" thickBot="1">
      <c r="A85" s="732" t="s">
        <v>1487</v>
      </c>
      <c r="B85" s="733" t="s">
        <v>1488</v>
      </c>
      <c r="C85" s="734" t="s">
        <v>1489</v>
      </c>
      <c r="D85" s="735" t="s">
        <v>1482</v>
      </c>
      <c r="E85" s="736"/>
      <c r="F85" s="736"/>
      <c r="G85" s="737">
        <v>38</v>
      </c>
      <c r="H85" s="736"/>
      <c r="I85" s="736"/>
      <c r="J85" s="738">
        <v>7.6</v>
      </c>
      <c r="K85" s="736"/>
      <c r="L85" s="739" t="s">
        <v>1490</v>
      </c>
    </row>
    <row r="86" spans="1:13">
      <c r="A86" s="876" t="s">
        <v>1492</v>
      </c>
      <c r="B86" s="877"/>
      <c r="C86" s="878"/>
      <c r="D86" s="804"/>
      <c r="E86" s="805"/>
      <c r="F86" s="805"/>
      <c r="G86" s="805">
        <f>SUM(G83:G85)</f>
        <v>139</v>
      </c>
      <c r="H86" s="805"/>
      <c r="I86" s="805"/>
      <c r="J86" s="806">
        <f>SUM(J83:J85)</f>
        <v>42.95</v>
      </c>
      <c r="K86" s="805"/>
      <c r="L86" s="807"/>
    </row>
    <row r="87" spans="1:13" ht="20.25">
      <c r="A87" s="810"/>
      <c r="B87" s="811" t="s">
        <v>1491</v>
      </c>
      <c r="C87" s="812"/>
      <c r="D87" s="810"/>
      <c r="E87" s="810"/>
      <c r="F87" s="810"/>
      <c r="G87" s="813">
        <f>G86+G81+G73+G67+G60+G55+G48</f>
        <v>303</v>
      </c>
      <c r="H87" s="814"/>
      <c r="I87" s="814"/>
      <c r="J87" s="813">
        <f>J86+J81+J73+J67+J60+J55+J48</f>
        <v>108.0437</v>
      </c>
      <c r="K87" s="810"/>
      <c r="L87" s="810"/>
      <c r="M87" s="803"/>
    </row>
    <row r="88" spans="1:13" ht="20.25">
      <c r="A88" s="808" t="s">
        <v>412</v>
      </c>
      <c r="B88" s="808"/>
      <c r="C88" s="808"/>
      <c r="D88" s="808"/>
      <c r="E88" s="808"/>
      <c r="F88" s="808"/>
      <c r="G88" s="808"/>
      <c r="H88" s="808"/>
      <c r="I88" s="808"/>
      <c r="J88" s="808"/>
      <c r="K88" s="809"/>
      <c r="L88" s="808"/>
    </row>
    <row r="89" spans="1:13" s="571" customFormat="1" ht="47.25" customHeight="1">
      <c r="A89" s="332">
        <v>1</v>
      </c>
      <c r="B89" s="332"/>
      <c r="C89" s="330" t="s">
        <v>186</v>
      </c>
      <c r="D89" s="378" t="s">
        <v>341</v>
      </c>
      <c r="E89" s="332">
        <v>1</v>
      </c>
      <c r="F89" s="332">
        <v>30</v>
      </c>
      <c r="G89" s="332">
        <v>8</v>
      </c>
      <c r="H89" s="332">
        <f>F89*G89</f>
        <v>240</v>
      </c>
      <c r="I89" s="332">
        <f>H89*E89</f>
        <v>240</v>
      </c>
      <c r="J89" s="333">
        <v>3.5</v>
      </c>
      <c r="K89" s="332" t="s">
        <v>332</v>
      </c>
      <c r="L89" s="334" t="s">
        <v>1243</v>
      </c>
      <c r="M89" s="570"/>
    </row>
    <row r="90" spans="1:13" s="571" customFormat="1" ht="49.5" customHeight="1">
      <c r="A90" s="332">
        <f>A89+1</f>
        <v>2</v>
      </c>
      <c r="B90" s="330"/>
      <c r="C90" s="330" t="s">
        <v>307</v>
      </c>
      <c r="D90" s="331" t="s">
        <v>187</v>
      </c>
      <c r="E90" s="332">
        <v>5</v>
      </c>
      <c r="F90" s="332">
        <v>30</v>
      </c>
      <c r="G90" s="332">
        <v>1</v>
      </c>
      <c r="H90" s="332">
        <f t="shared" ref="H90:H93" si="13">F90*G90</f>
        <v>30</v>
      </c>
      <c r="I90" s="332">
        <f t="shared" ref="I90:I93" si="14">H90*E90</f>
        <v>150</v>
      </c>
      <c r="J90" s="333">
        <v>4.91</v>
      </c>
      <c r="K90" s="332" t="s">
        <v>296</v>
      </c>
      <c r="L90" s="334" t="s">
        <v>1243</v>
      </c>
      <c r="M90" s="570"/>
    </row>
    <row r="91" spans="1:13" s="571" customFormat="1" ht="33.75">
      <c r="A91" s="332">
        <f t="shared" ref="A91:A93" si="15">A90+1</f>
        <v>3</v>
      </c>
      <c r="B91" s="330"/>
      <c r="C91" s="330" t="s">
        <v>189</v>
      </c>
      <c r="D91" s="378" t="s">
        <v>308</v>
      </c>
      <c r="E91" s="332">
        <v>6</v>
      </c>
      <c r="F91" s="332">
        <v>30</v>
      </c>
      <c r="G91" s="332">
        <v>1</v>
      </c>
      <c r="H91" s="332">
        <f t="shared" si="13"/>
        <v>30</v>
      </c>
      <c r="I91" s="332">
        <f t="shared" si="14"/>
        <v>180</v>
      </c>
      <c r="J91" s="333">
        <v>5.61</v>
      </c>
      <c r="K91" s="332" t="s">
        <v>296</v>
      </c>
      <c r="L91" s="334" t="s">
        <v>1243</v>
      </c>
      <c r="M91" s="570"/>
    </row>
    <row r="92" spans="1:13" s="571" customFormat="1" ht="24">
      <c r="A92" s="332">
        <f t="shared" si="15"/>
        <v>4</v>
      </c>
      <c r="B92" s="330"/>
      <c r="C92" s="330" t="s">
        <v>190</v>
      </c>
      <c r="D92" s="331" t="s">
        <v>191</v>
      </c>
      <c r="E92" s="332">
        <v>5</v>
      </c>
      <c r="F92" s="332">
        <v>30</v>
      </c>
      <c r="G92" s="332">
        <v>1</v>
      </c>
      <c r="H92" s="332">
        <f t="shared" si="13"/>
        <v>30</v>
      </c>
      <c r="I92" s="332">
        <f t="shared" si="14"/>
        <v>150</v>
      </c>
      <c r="J92" s="333">
        <v>4.91</v>
      </c>
      <c r="K92" s="332" t="s">
        <v>331</v>
      </c>
      <c r="L92" s="334" t="s">
        <v>1243</v>
      </c>
      <c r="M92" s="570"/>
    </row>
    <row r="93" spans="1:13" s="571" customFormat="1" ht="24">
      <c r="A93" s="332">
        <f t="shared" si="15"/>
        <v>5</v>
      </c>
      <c r="B93" s="330"/>
      <c r="C93" s="330" t="s">
        <v>192</v>
      </c>
      <c r="D93" s="331" t="s">
        <v>193</v>
      </c>
      <c r="E93" s="332">
        <v>1</v>
      </c>
      <c r="F93" s="332">
        <v>30</v>
      </c>
      <c r="G93" s="332">
        <v>2</v>
      </c>
      <c r="H93" s="332">
        <f t="shared" si="13"/>
        <v>60</v>
      </c>
      <c r="I93" s="332">
        <f t="shared" si="14"/>
        <v>60</v>
      </c>
      <c r="J93" s="333">
        <v>4.21</v>
      </c>
      <c r="K93" s="332" t="s">
        <v>331</v>
      </c>
      <c r="L93" s="334" t="s">
        <v>1243</v>
      </c>
      <c r="M93" s="570"/>
    </row>
    <row r="94" spans="1:13" s="571" customFormat="1" ht="24">
      <c r="A94" s="332"/>
      <c r="B94" s="330"/>
      <c r="C94" s="330" t="s">
        <v>1244</v>
      </c>
      <c r="D94" s="331" t="s">
        <v>342</v>
      </c>
      <c r="E94" s="332">
        <v>5</v>
      </c>
      <c r="F94" s="332">
        <v>30</v>
      </c>
      <c r="G94" s="332">
        <v>2</v>
      </c>
      <c r="H94" s="332">
        <f>F94*G94</f>
        <v>60</v>
      </c>
      <c r="I94" s="332">
        <f>H94*E94</f>
        <v>300</v>
      </c>
      <c r="J94" s="333">
        <v>9.81</v>
      </c>
      <c r="K94" s="332" t="s">
        <v>296</v>
      </c>
      <c r="L94" s="334" t="s">
        <v>1243</v>
      </c>
      <c r="M94" s="570"/>
    </row>
    <row r="95" spans="1:13" s="571" customFormat="1" ht="45">
      <c r="A95" s="332">
        <f>A93+1</f>
        <v>6</v>
      </c>
      <c r="B95" s="330"/>
      <c r="C95" s="379" t="s">
        <v>1241</v>
      </c>
      <c r="D95" s="331" t="s">
        <v>1242</v>
      </c>
      <c r="E95" s="380">
        <v>2</v>
      </c>
      <c r="F95" s="380">
        <v>32</v>
      </c>
      <c r="G95" s="380">
        <v>3</v>
      </c>
      <c r="H95" s="380">
        <f>F95*G95</f>
        <v>96</v>
      </c>
      <c r="I95" s="380">
        <f>H95*E95</f>
        <v>192</v>
      </c>
      <c r="J95" s="381">
        <v>4.96</v>
      </c>
      <c r="K95" s="332" t="s">
        <v>296</v>
      </c>
      <c r="L95" s="334" t="s">
        <v>1243</v>
      </c>
      <c r="M95" s="570"/>
    </row>
    <row r="96" spans="1:13">
      <c r="A96" s="371"/>
      <c r="B96" s="588" t="s">
        <v>1494</v>
      </c>
      <c r="C96" s="371"/>
      <c r="D96" s="371"/>
      <c r="E96" s="371"/>
      <c r="F96" s="371"/>
      <c r="G96" s="371">
        <f>SUM(G89:G95)</f>
        <v>18</v>
      </c>
      <c r="H96" s="371">
        <f>SUM(H89:H95)</f>
        <v>546</v>
      </c>
      <c r="I96" s="371">
        <f>SUM(I89:I95)</f>
        <v>1272</v>
      </c>
      <c r="J96" s="382">
        <f>SUM(J89:J95)</f>
        <v>37.910000000000004</v>
      </c>
      <c r="K96" s="376"/>
      <c r="L96" s="371"/>
    </row>
    <row r="97" spans="1:13" ht="20.25">
      <c r="A97" s="363" t="s">
        <v>345</v>
      </c>
      <c r="B97" s="363"/>
      <c r="C97" s="363"/>
      <c r="D97" s="363"/>
      <c r="E97" s="363"/>
      <c r="F97" s="363"/>
      <c r="G97" s="363"/>
      <c r="H97" s="363"/>
      <c r="I97" s="363"/>
      <c r="J97" s="363"/>
      <c r="K97" s="364"/>
      <c r="L97" s="363"/>
    </row>
    <row r="98" spans="1:13" s="571" customFormat="1" ht="24">
      <c r="A98" s="380">
        <v>1</v>
      </c>
      <c r="B98" s="330"/>
      <c r="C98" s="330" t="s">
        <v>346</v>
      </c>
      <c r="D98" s="330" t="s">
        <v>350</v>
      </c>
      <c r="E98" s="380">
        <v>1</v>
      </c>
      <c r="F98" s="380">
        <v>30</v>
      </c>
      <c r="G98" s="380">
        <v>4</v>
      </c>
      <c r="H98" s="380">
        <v>174</v>
      </c>
      <c r="I98" s="380">
        <v>174</v>
      </c>
      <c r="J98" s="383">
        <v>1.5</v>
      </c>
      <c r="K98" s="343" t="s">
        <v>947</v>
      </c>
      <c r="L98" s="330" t="s">
        <v>948</v>
      </c>
      <c r="M98" s="570"/>
    </row>
    <row r="99" spans="1:13" s="571" customFormat="1" ht="24">
      <c r="A99" s="380">
        <v>2</v>
      </c>
      <c r="B99" s="330"/>
      <c r="C99" s="330" t="s">
        <v>347</v>
      </c>
      <c r="D99" s="330" t="s">
        <v>350</v>
      </c>
      <c r="E99" s="380">
        <v>1</v>
      </c>
      <c r="F99" s="380">
        <v>30</v>
      </c>
      <c r="G99" s="380">
        <v>5</v>
      </c>
      <c r="H99" s="380">
        <v>50</v>
      </c>
      <c r="I99" s="380">
        <v>50</v>
      </c>
      <c r="J99" s="383">
        <v>0.3</v>
      </c>
      <c r="K99" s="343" t="s">
        <v>163</v>
      </c>
      <c r="L99" s="330" t="s">
        <v>948</v>
      </c>
      <c r="M99" s="570"/>
    </row>
    <row r="100" spans="1:13" s="571" customFormat="1" ht="36">
      <c r="A100" s="380">
        <v>3</v>
      </c>
      <c r="B100" s="330"/>
      <c r="C100" s="330" t="s">
        <v>348</v>
      </c>
      <c r="D100" s="330" t="s">
        <v>349</v>
      </c>
      <c r="E100" s="380">
        <v>6.5</v>
      </c>
      <c r="F100" s="380">
        <v>25</v>
      </c>
      <c r="G100" s="380">
        <v>3200</v>
      </c>
      <c r="H100" s="380">
        <v>80000</v>
      </c>
      <c r="I100" s="380">
        <v>520000</v>
      </c>
      <c r="J100" s="384">
        <v>6264</v>
      </c>
      <c r="K100" s="343" t="s">
        <v>353</v>
      </c>
      <c r="L100" s="330" t="s">
        <v>949</v>
      </c>
      <c r="M100" s="570"/>
    </row>
    <row r="101" spans="1:13" s="571" customFormat="1" ht="24">
      <c r="A101" s="380">
        <v>4</v>
      </c>
      <c r="B101" s="330"/>
      <c r="C101" s="330" t="s">
        <v>351</v>
      </c>
      <c r="D101" s="330" t="s">
        <v>352</v>
      </c>
      <c r="E101" s="380">
        <v>5</v>
      </c>
      <c r="F101" s="380">
        <v>4</v>
      </c>
      <c r="G101" s="380">
        <v>2</v>
      </c>
      <c r="H101" s="380">
        <v>4</v>
      </c>
      <c r="I101" s="380">
        <v>20</v>
      </c>
      <c r="J101" s="383">
        <v>0.2</v>
      </c>
      <c r="K101" s="343" t="s">
        <v>354</v>
      </c>
      <c r="L101" s="330" t="s">
        <v>948</v>
      </c>
      <c r="M101" s="570"/>
    </row>
    <row r="102" spans="1:13">
      <c r="A102" s="385"/>
      <c r="B102" s="386" t="s">
        <v>1495</v>
      </c>
      <c r="C102" s="377"/>
      <c r="D102" s="385"/>
      <c r="E102" s="385"/>
      <c r="F102" s="385"/>
      <c r="G102" s="387">
        <f>SUM(G98:G101)</f>
        <v>3211</v>
      </c>
      <c r="H102" s="387">
        <f>SUM(H98:H101)</f>
        <v>80228</v>
      </c>
      <c r="I102" s="387">
        <f>SUM(I98:I101)</f>
        <v>520244</v>
      </c>
      <c r="J102" s="388">
        <f>SUM(J98:J101)</f>
        <v>6266</v>
      </c>
      <c r="K102" s="385"/>
      <c r="L102" s="385"/>
    </row>
    <row r="103" spans="1:13" ht="20.25">
      <c r="A103" s="363" t="s">
        <v>41</v>
      </c>
      <c r="B103" s="363"/>
      <c r="C103" s="363"/>
      <c r="D103" s="363"/>
      <c r="E103" s="363"/>
      <c r="F103" s="363"/>
      <c r="G103" s="363"/>
      <c r="H103" s="363"/>
      <c r="I103" s="363"/>
      <c r="J103" s="363"/>
      <c r="K103" s="364"/>
      <c r="L103" s="363"/>
    </row>
    <row r="104" spans="1:13" s="571" customFormat="1" ht="36">
      <c r="A104" s="389">
        <v>1</v>
      </c>
      <c r="B104" s="389"/>
      <c r="C104" s="390" t="s">
        <v>461</v>
      </c>
      <c r="D104" s="344" t="s">
        <v>320</v>
      </c>
      <c r="E104" s="391">
        <v>15</v>
      </c>
      <c r="F104" s="392">
        <v>30</v>
      </c>
      <c r="G104" s="392">
        <v>24</v>
      </c>
      <c r="H104" s="391">
        <f>G104*F104</f>
        <v>720</v>
      </c>
      <c r="I104" s="391">
        <f>H104*E104</f>
        <v>10800</v>
      </c>
      <c r="J104" s="393">
        <v>90.96</v>
      </c>
      <c r="K104" s="394" t="s">
        <v>575</v>
      </c>
      <c r="L104" s="395" t="s">
        <v>576</v>
      </c>
      <c r="M104" s="570"/>
    </row>
    <row r="105" spans="1:13" s="571" customFormat="1" ht="51">
      <c r="A105" s="389">
        <v>2</v>
      </c>
      <c r="B105" s="389"/>
      <c r="C105" s="390" t="s">
        <v>577</v>
      </c>
      <c r="D105" s="396" t="s">
        <v>1180</v>
      </c>
      <c r="E105" s="391">
        <v>45</v>
      </c>
      <c r="F105" s="392">
        <v>20</v>
      </c>
      <c r="G105" s="392">
        <v>19</v>
      </c>
      <c r="H105" s="391">
        <f t="shared" ref="H105" si="16">G105*F105</f>
        <v>380</v>
      </c>
      <c r="I105" s="391">
        <f t="shared" ref="I105" si="17">H105*E105</f>
        <v>17100</v>
      </c>
      <c r="J105" s="393">
        <v>122.2</v>
      </c>
      <c r="K105" s="394" t="s">
        <v>578</v>
      </c>
      <c r="L105" s="395" t="s">
        <v>576</v>
      </c>
      <c r="M105" s="570"/>
    </row>
    <row r="106" spans="1:13" ht="16.5" customHeight="1">
      <c r="A106" s="397"/>
      <c r="B106" s="861" t="s">
        <v>1496</v>
      </c>
      <c r="C106" s="861"/>
      <c r="D106" s="398"/>
      <c r="E106" s="398"/>
      <c r="F106" s="398"/>
      <c r="G106" s="398">
        <f>SUM(G104:G105)</f>
        <v>43</v>
      </c>
      <c r="H106" s="398">
        <f>SUM(H104:H105)</f>
        <v>1100</v>
      </c>
      <c r="I106" s="398">
        <f>SUM(I104:I105)</f>
        <v>27900</v>
      </c>
      <c r="J106" s="399">
        <f>SUM(J104:J105)</f>
        <v>213.16</v>
      </c>
      <c r="K106" s="400"/>
      <c r="L106" s="397"/>
    </row>
    <row r="107" spans="1:13" ht="23.25" customHeight="1">
      <c r="A107" s="363" t="s">
        <v>874</v>
      </c>
      <c r="B107" s="401"/>
      <c r="C107" s="402"/>
      <c r="D107" s="402"/>
      <c r="E107" s="402"/>
      <c r="F107" s="402"/>
      <c r="G107" s="402"/>
      <c r="H107" s="402"/>
      <c r="I107" s="402"/>
      <c r="J107" s="403"/>
      <c r="K107" s="404"/>
      <c r="L107" s="401"/>
    </row>
    <row r="108" spans="1:13" s="571" customFormat="1" ht="27">
      <c r="A108" s="389">
        <v>1</v>
      </c>
      <c r="B108" s="405"/>
      <c r="C108" s="406" t="s">
        <v>837</v>
      </c>
      <c r="D108" s="407" t="s">
        <v>822</v>
      </c>
      <c r="E108" s="338">
        <v>4</v>
      </c>
      <c r="F108" s="338">
        <v>28</v>
      </c>
      <c r="G108" s="338">
        <v>5</v>
      </c>
      <c r="H108" s="338">
        <f t="shared" ref="H108:H141" si="18">F108*G108</f>
        <v>140</v>
      </c>
      <c r="I108" s="338">
        <f t="shared" ref="I108:I117" si="19">H108*E108</f>
        <v>560</v>
      </c>
      <c r="J108" s="408">
        <v>10</v>
      </c>
      <c r="K108" s="341" t="s">
        <v>411</v>
      </c>
      <c r="L108" s="341" t="s">
        <v>823</v>
      </c>
      <c r="M108" s="570"/>
    </row>
    <row r="109" spans="1:13" s="571" customFormat="1" ht="27">
      <c r="A109" s="389">
        <f>1+A108</f>
        <v>2</v>
      </c>
      <c r="B109" s="405"/>
      <c r="C109" s="406" t="s">
        <v>838</v>
      </c>
      <c r="D109" s="409" t="s">
        <v>724</v>
      </c>
      <c r="E109" s="338">
        <v>2</v>
      </c>
      <c r="F109" s="338">
        <v>25</v>
      </c>
      <c r="G109" s="338">
        <v>5</v>
      </c>
      <c r="H109" s="338">
        <f t="shared" si="18"/>
        <v>125</v>
      </c>
      <c r="I109" s="338">
        <f t="shared" si="19"/>
        <v>250</v>
      </c>
      <c r="J109" s="408">
        <v>10</v>
      </c>
      <c r="K109" s="341" t="s">
        <v>411</v>
      </c>
      <c r="L109" s="341" t="s">
        <v>823</v>
      </c>
      <c r="M109" s="570"/>
    </row>
    <row r="110" spans="1:13" s="571" customFormat="1" ht="27">
      <c r="A110" s="389">
        <f t="shared" ref="A110:A141" si="20">1+A109</f>
        <v>3</v>
      </c>
      <c r="B110" s="405"/>
      <c r="C110" s="406" t="s">
        <v>839</v>
      </c>
      <c r="D110" s="410" t="s">
        <v>247</v>
      </c>
      <c r="E110" s="338">
        <v>1</v>
      </c>
      <c r="F110" s="338">
        <v>30</v>
      </c>
      <c r="G110" s="338">
        <v>132</v>
      </c>
      <c r="H110" s="338">
        <f t="shared" si="18"/>
        <v>3960</v>
      </c>
      <c r="I110" s="338">
        <f t="shared" si="19"/>
        <v>3960</v>
      </c>
      <c r="J110" s="408">
        <v>25</v>
      </c>
      <c r="K110" s="341" t="s">
        <v>824</v>
      </c>
      <c r="L110" s="341" t="s">
        <v>823</v>
      </c>
      <c r="M110" s="570"/>
    </row>
    <row r="111" spans="1:13" s="571" customFormat="1" ht="27">
      <c r="A111" s="389">
        <f t="shared" si="20"/>
        <v>4</v>
      </c>
      <c r="B111" s="405"/>
      <c r="C111" s="411" t="s">
        <v>840</v>
      </c>
      <c r="D111" s="410" t="s">
        <v>247</v>
      </c>
      <c r="E111" s="338">
        <v>1</v>
      </c>
      <c r="F111" s="338">
        <v>30</v>
      </c>
      <c r="G111" s="338">
        <v>132</v>
      </c>
      <c r="H111" s="338">
        <f t="shared" si="18"/>
        <v>3960</v>
      </c>
      <c r="I111" s="338">
        <f t="shared" si="19"/>
        <v>3960</v>
      </c>
      <c r="J111" s="408">
        <v>25</v>
      </c>
      <c r="K111" s="341" t="s">
        <v>824</v>
      </c>
      <c r="L111" s="341" t="s">
        <v>823</v>
      </c>
      <c r="M111" s="570"/>
    </row>
    <row r="112" spans="1:13" s="571" customFormat="1" ht="38.25">
      <c r="A112" s="389">
        <f t="shared" si="20"/>
        <v>5</v>
      </c>
      <c r="B112" s="405"/>
      <c r="C112" s="406" t="s">
        <v>841</v>
      </c>
      <c r="D112" s="410" t="s">
        <v>825</v>
      </c>
      <c r="E112" s="338">
        <v>3</v>
      </c>
      <c r="F112" s="338">
        <v>25</v>
      </c>
      <c r="G112" s="338">
        <v>5</v>
      </c>
      <c r="H112" s="338">
        <f t="shared" si="18"/>
        <v>125</v>
      </c>
      <c r="I112" s="338">
        <f t="shared" si="19"/>
        <v>375</v>
      </c>
      <c r="J112" s="408">
        <f>20/11*3</f>
        <v>5.4545454545454541</v>
      </c>
      <c r="K112" s="341" t="s">
        <v>135</v>
      </c>
      <c r="L112" s="341" t="s">
        <v>823</v>
      </c>
      <c r="M112" s="570"/>
    </row>
    <row r="113" spans="1:13" s="571" customFormat="1" ht="27">
      <c r="A113" s="389">
        <f t="shared" si="20"/>
        <v>6</v>
      </c>
      <c r="B113" s="405"/>
      <c r="C113" s="412" t="s">
        <v>842</v>
      </c>
      <c r="D113" s="410" t="s">
        <v>825</v>
      </c>
      <c r="E113" s="338">
        <v>1</v>
      </c>
      <c r="F113" s="338">
        <v>25</v>
      </c>
      <c r="G113" s="338">
        <v>5</v>
      </c>
      <c r="H113" s="338">
        <f t="shared" si="18"/>
        <v>125</v>
      </c>
      <c r="I113" s="338">
        <f t="shared" si="19"/>
        <v>125</v>
      </c>
      <c r="J113" s="408">
        <f>20/11*1</f>
        <v>1.8181818181818181</v>
      </c>
      <c r="K113" s="341" t="s">
        <v>826</v>
      </c>
      <c r="L113" s="341" t="s">
        <v>823</v>
      </c>
      <c r="M113" s="570"/>
    </row>
    <row r="114" spans="1:13" s="571" customFormat="1" ht="27">
      <c r="A114" s="389">
        <f t="shared" si="20"/>
        <v>7</v>
      </c>
      <c r="B114" s="405"/>
      <c r="C114" s="411" t="s">
        <v>843</v>
      </c>
      <c r="D114" s="410" t="s">
        <v>825</v>
      </c>
      <c r="E114" s="338">
        <v>2</v>
      </c>
      <c r="F114" s="338">
        <v>25</v>
      </c>
      <c r="G114" s="338">
        <v>58</v>
      </c>
      <c r="H114" s="338">
        <f t="shared" si="18"/>
        <v>1450</v>
      </c>
      <c r="I114" s="338">
        <f t="shared" si="19"/>
        <v>2900</v>
      </c>
      <c r="J114" s="408">
        <f>20/11*2</f>
        <v>3.6363636363636362</v>
      </c>
      <c r="K114" s="341" t="s">
        <v>135</v>
      </c>
      <c r="L114" s="341" t="s">
        <v>823</v>
      </c>
      <c r="M114" s="570"/>
    </row>
    <row r="115" spans="1:13" s="571" customFormat="1" ht="27">
      <c r="A115" s="389">
        <f t="shared" si="20"/>
        <v>8</v>
      </c>
      <c r="B115" s="405"/>
      <c r="C115" s="406" t="s">
        <v>844</v>
      </c>
      <c r="D115" s="410" t="s">
        <v>825</v>
      </c>
      <c r="E115" s="338">
        <v>3</v>
      </c>
      <c r="F115" s="338">
        <v>25</v>
      </c>
      <c r="G115" s="338">
        <v>5</v>
      </c>
      <c r="H115" s="338">
        <f t="shared" si="18"/>
        <v>125</v>
      </c>
      <c r="I115" s="338">
        <f t="shared" si="19"/>
        <v>375</v>
      </c>
      <c r="J115" s="408">
        <v>5.5</v>
      </c>
      <c r="K115" s="341" t="s">
        <v>135</v>
      </c>
      <c r="L115" s="341" t="s">
        <v>823</v>
      </c>
      <c r="M115" s="570"/>
    </row>
    <row r="116" spans="1:13" s="571" customFormat="1" ht="27">
      <c r="A116" s="389">
        <f t="shared" si="20"/>
        <v>9</v>
      </c>
      <c r="B116" s="405"/>
      <c r="C116" s="406" t="s">
        <v>845</v>
      </c>
      <c r="D116" s="410" t="s">
        <v>825</v>
      </c>
      <c r="E116" s="338">
        <v>2</v>
      </c>
      <c r="F116" s="338">
        <v>25</v>
      </c>
      <c r="G116" s="338">
        <v>2</v>
      </c>
      <c r="H116" s="338">
        <f t="shared" si="18"/>
        <v>50</v>
      </c>
      <c r="I116" s="338">
        <f t="shared" si="19"/>
        <v>100</v>
      </c>
      <c r="J116" s="408">
        <v>3.5</v>
      </c>
      <c r="K116" s="341" t="s">
        <v>135</v>
      </c>
      <c r="L116" s="341" t="s">
        <v>823</v>
      </c>
      <c r="M116" s="570"/>
    </row>
    <row r="117" spans="1:13" s="571" customFormat="1" ht="27">
      <c r="A117" s="389">
        <f t="shared" si="20"/>
        <v>10</v>
      </c>
      <c r="B117" s="405"/>
      <c r="C117" s="411" t="s">
        <v>846</v>
      </c>
      <c r="D117" s="410" t="s">
        <v>247</v>
      </c>
      <c r="E117" s="338">
        <v>1</v>
      </c>
      <c r="F117" s="338">
        <v>30</v>
      </c>
      <c r="G117" s="338">
        <v>32</v>
      </c>
      <c r="H117" s="338">
        <f t="shared" si="18"/>
        <v>960</v>
      </c>
      <c r="I117" s="338">
        <f t="shared" si="19"/>
        <v>960</v>
      </c>
      <c r="J117" s="413"/>
      <c r="K117" s="341" t="s">
        <v>824</v>
      </c>
      <c r="L117" s="341" t="s">
        <v>823</v>
      </c>
      <c r="M117" s="570"/>
    </row>
    <row r="118" spans="1:13" s="571" customFormat="1" ht="27">
      <c r="A118" s="389">
        <f t="shared" si="20"/>
        <v>11</v>
      </c>
      <c r="B118" s="405"/>
      <c r="C118" s="406" t="s">
        <v>847</v>
      </c>
      <c r="D118" s="414" t="s">
        <v>827</v>
      </c>
      <c r="E118" s="338">
        <v>1</v>
      </c>
      <c r="F118" s="338">
        <v>25</v>
      </c>
      <c r="G118" s="338">
        <v>29</v>
      </c>
      <c r="H118" s="338">
        <f t="shared" si="18"/>
        <v>725</v>
      </c>
      <c r="I118" s="338">
        <f>E118*H118</f>
        <v>725</v>
      </c>
      <c r="J118" s="408">
        <v>5</v>
      </c>
      <c r="K118" s="341" t="s">
        <v>353</v>
      </c>
      <c r="L118" s="341" t="s">
        <v>823</v>
      </c>
      <c r="M118" s="570"/>
    </row>
    <row r="119" spans="1:13" s="571" customFormat="1" ht="27">
      <c r="A119" s="389">
        <f t="shared" si="20"/>
        <v>12</v>
      </c>
      <c r="B119" s="405"/>
      <c r="C119" s="406" t="s">
        <v>848</v>
      </c>
      <c r="D119" s="415" t="s">
        <v>828</v>
      </c>
      <c r="E119" s="338">
        <v>1</v>
      </c>
      <c r="F119" s="338">
        <v>25</v>
      </c>
      <c r="G119" s="338">
        <v>29</v>
      </c>
      <c r="H119" s="338">
        <f t="shared" si="18"/>
        <v>725</v>
      </c>
      <c r="I119" s="338">
        <f t="shared" ref="I119:I141" si="21">E119*H119</f>
        <v>725</v>
      </c>
      <c r="J119" s="408">
        <v>5</v>
      </c>
      <c r="K119" s="341" t="s">
        <v>353</v>
      </c>
      <c r="L119" s="341" t="s">
        <v>823</v>
      </c>
      <c r="M119" s="570"/>
    </row>
    <row r="120" spans="1:13" s="571" customFormat="1" ht="27">
      <c r="A120" s="389">
        <f t="shared" si="20"/>
        <v>13</v>
      </c>
      <c r="B120" s="405"/>
      <c r="C120" s="406" t="s">
        <v>849</v>
      </c>
      <c r="D120" s="415" t="s">
        <v>829</v>
      </c>
      <c r="E120" s="338">
        <v>3</v>
      </c>
      <c r="F120" s="338">
        <v>25</v>
      </c>
      <c r="G120" s="338">
        <v>10</v>
      </c>
      <c r="H120" s="338">
        <f t="shared" si="18"/>
        <v>250</v>
      </c>
      <c r="I120" s="338">
        <f t="shared" si="21"/>
        <v>750</v>
      </c>
      <c r="J120" s="408">
        <v>5</v>
      </c>
      <c r="K120" s="341" t="s">
        <v>353</v>
      </c>
      <c r="L120" s="341" t="s">
        <v>823</v>
      </c>
      <c r="M120" s="570"/>
    </row>
    <row r="121" spans="1:13" s="571" customFormat="1" ht="27">
      <c r="A121" s="389">
        <f t="shared" si="20"/>
        <v>14</v>
      </c>
      <c r="B121" s="405"/>
      <c r="C121" s="411" t="s">
        <v>850</v>
      </c>
      <c r="D121" s="414" t="s">
        <v>827</v>
      </c>
      <c r="E121" s="338">
        <v>1</v>
      </c>
      <c r="F121" s="338">
        <v>25</v>
      </c>
      <c r="G121" s="338">
        <v>29</v>
      </c>
      <c r="H121" s="338">
        <f t="shared" si="18"/>
        <v>725</v>
      </c>
      <c r="I121" s="338">
        <f t="shared" si="21"/>
        <v>725</v>
      </c>
      <c r="J121" s="408">
        <v>5</v>
      </c>
      <c r="K121" s="341" t="s">
        <v>353</v>
      </c>
      <c r="L121" s="341" t="s">
        <v>823</v>
      </c>
      <c r="M121" s="570"/>
    </row>
    <row r="122" spans="1:13" s="571" customFormat="1" ht="27">
      <c r="A122" s="389">
        <f t="shared" si="20"/>
        <v>15</v>
      </c>
      <c r="B122" s="405"/>
      <c r="C122" s="411" t="s">
        <v>851</v>
      </c>
      <c r="D122" s="410" t="s">
        <v>827</v>
      </c>
      <c r="E122" s="338">
        <v>1</v>
      </c>
      <c r="F122" s="338">
        <v>25</v>
      </c>
      <c r="G122" s="338">
        <v>22</v>
      </c>
      <c r="H122" s="338">
        <f t="shared" si="18"/>
        <v>550</v>
      </c>
      <c r="I122" s="338">
        <f t="shared" si="21"/>
        <v>550</v>
      </c>
      <c r="J122" s="408">
        <f>15/4</f>
        <v>3.75</v>
      </c>
      <c r="K122" s="341" t="s">
        <v>353</v>
      </c>
      <c r="L122" s="341" t="s">
        <v>823</v>
      </c>
      <c r="M122" s="570"/>
    </row>
    <row r="123" spans="1:13" s="571" customFormat="1" ht="27">
      <c r="A123" s="389">
        <f t="shared" si="20"/>
        <v>16</v>
      </c>
      <c r="B123" s="405"/>
      <c r="C123" s="411" t="s">
        <v>852</v>
      </c>
      <c r="D123" s="410" t="s">
        <v>830</v>
      </c>
      <c r="E123" s="338">
        <v>1</v>
      </c>
      <c r="F123" s="338">
        <v>25</v>
      </c>
      <c r="G123" s="338">
        <v>22</v>
      </c>
      <c r="H123" s="338">
        <f t="shared" si="18"/>
        <v>550</v>
      </c>
      <c r="I123" s="338">
        <f t="shared" si="21"/>
        <v>550</v>
      </c>
      <c r="J123" s="408">
        <f>15/4</f>
        <v>3.75</v>
      </c>
      <c r="K123" s="341" t="s">
        <v>353</v>
      </c>
      <c r="L123" s="341" t="s">
        <v>823</v>
      </c>
      <c r="M123" s="570"/>
    </row>
    <row r="124" spans="1:13" s="571" customFormat="1" ht="27">
      <c r="A124" s="389">
        <f t="shared" si="20"/>
        <v>17</v>
      </c>
      <c r="B124" s="405"/>
      <c r="C124" s="406" t="s">
        <v>853</v>
      </c>
      <c r="D124" s="410" t="s">
        <v>830</v>
      </c>
      <c r="E124" s="338">
        <v>14</v>
      </c>
      <c r="F124" s="338">
        <v>25</v>
      </c>
      <c r="G124" s="338">
        <v>2</v>
      </c>
      <c r="H124" s="338">
        <f t="shared" si="18"/>
        <v>50</v>
      </c>
      <c r="I124" s="338">
        <f t="shared" si="21"/>
        <v>700</v>
      </c>
      <c r="J124" s="408">
        <f>15/4</f>
        <v>3.75</v>
      </c>
      <c r="K124" s="341" t="s">
        <v>353</v>
      </c>
      <c r="L124" s="341" t="s">
        <v>823</v>
      </c>
      <c r="M124" s="570"/>
    </row>
    <row r="125" spans="1:13" s="571" customFormat="1" ht="27">
      <c r="A125" s="389">
        <f t="shared" si="20"/>
        <v>18</v>
      </c>
      <c r="B125" s="405"/>
      <c r="C125" s="406" t="s">
        <v>854</v>
      </c>
      <c r="D125" s="410" t="s">
        <v>831</v>
      </c>
      <c r="E125" s="338">
        <v>1</v>
      </c>
      <c r="F125" s="338">
        <v>25</v>
      </c>
      <c r="G125" s="338">
        <v>22</v>
      </c>
      <c r="H125" s="338">
        <f t="shared" si="18"/>
        <v>550</v>
      </c>
      <c r="I125" s="338">
        <f t="shared" si="21"/>
        <v>550</v>
      </c>
      <c r="J125" s="408">
        <f>15/4</f>
        <v>3.75</v>
      </c>
      <c r="K125" s="341" t="s">
        <v>353</v>
      </c>
      <c r="L125" s="341" t="s">
        <v>823</v>
      </c>
      <c r="M125" s="570"/>
    </row>
    <row r="126" spans="1:13" s="571" customFormat="1" ht="27">
      <c r="A126" s="389">
        <f t="shared" si="20"/>
        <v>19</v>
      </c>
      <c r="B126" s="405"/>
      <c r="C126" s="406" t="s">
        <v>855</v>
      </c>
      <c r="D126" s="341" t="s">
        <v>832</v>
      </c>
      <c r="E126" s="338">
        <v>1</v>
      </c>
      <c r="F126" s="338">
        <v>25</v>
      </c>
      <c r="G126" s="338">
        <v>5</v>
      </c>
      <c r="H126" s="338">
        <f t="shared" si="18"/>
        <v>125</v>
      </c>
      <c r="I126" s="338">
        <f t="shared" si="21"/>
        <v>125</v>
      </c>
      <c r="J126" s="408">
        <v>2</v>
      </c>
      <c r="K126" s="341" t="s">
        <v>135</v>
      </c>
      <c r="L126" s="341" t="s">
        <v>823</v>
      </c>
      <c r="M126" s="570"/>
    </row>
    <row r="127" spans="1:13" s="571" customFormat="1" ht="27">
      <c r="A127" s="389">
        <f t="shared" si="20"/>
        <v>20</v>
      </c>
      <c r="B127" s="405"/>
      <c r="C127" s="406" t="s">
        <v>856</v>
      </c>
      <c r="D127" s="341" t="s">
        <v>832</v>
      </c>
      <c r="E127" s="338">
        <v>1</v>
      </c>
      <c r="F127" s="338">
        <v>25</v>
      </c>
      <c r="G127" s="338">
        <v>5</v>
      </c>
      <c r="H127" s="338">
        <f t="shared" si="18"/>
        <v>125</v>
      </c>
      <c r="I127" s="338">
        <f t="shared" si="21"/>
        <v>125</v>
      </c>
      <c r="J127" s="408">
        <v>2</v>
      </c>
      <c r="K127" s="341" t="s">
        <v>135</v>
      </c>
      <c r="L127" s="341" t="s">
        <v>823</v>
      </c>
      <c r="M127" s="570"/>
    </row>
    <row r="128" spans="1:13" s="571" customFormat="1" ht="27">
      <c r="A128" s="389">
        <f t="shared" si="20"/>
        <v>21</v>
      </c>
      <c r="B128" s="405"/>
      <c r="C128" s="411" t="s">
        <v>857</v>
      </c>
      <c r="D128" s="416" t="s">
        <v>833</v>
      </c>
      <c r="E128" s="338">
        <v>1</v>
      </c>
      <c r="F128" s="338">
        <v>25</v>
      </c>
      <c r="G128" s="338">
        <v>5</v>
      </c>
      <c r="H128" s="338">
        <f t="shared" si="18"/>
        <v>125</v>
      </c>
      <c r="I128" s="338">
        <f t="shared" si="21"/>
        <v>125</v>
      </c>
      <c r="J128" s="408">
        <v>2</v>
      </c>
      <c r="K128" s="341" t="s">
        <v>826</v>
      </c>
      <c r="L128" s="341" t="s">
        <v>823</v>
      </c>
      <c r="M128" s="570"/>
    </row>
    <row r="129" spans="1:13" s="571" customFormat="1" ht="27">
      <c r="A129" s="389">
        <f t="shared" si="20"/>
        <v>22</v>
      </c>
      <c r="B129" s="405"/>
      <c r="C129" s="411" t="s">
        <v>858</v>
      </c>
      <c r="D129" s="341" t="s">
        <v>832</v>
      </c>
      <c r="E129" s="338">
        <v>1</v>
      </c>
      <c r="F129" s="338">
        <v>25</v>
      </c>
      <c r="G129" s="338">
        <v>5</v>
      </c>
      <c r="H129" s="338">
        <f t="shared" si="18"/>
        <v>125</v>
      </c>
      <c r="I129" s="338">
        <f t="shared" si="21"/>
        <v>125</v>
      </c>
      <c r="J129" s="408">
        <v>2</v>
      </c>
      <c r="K129" s="341" t="s">
        <v>826</v>
      </c>
      <c r="L129" s="341" t="s">
        <v>823</v>
      </c>
      <c r="M129" s="570"/>
    </row>
    <row r="130" spans="1:13" s="571" customFormat="1" ht="27">
      <c r="A130" s="389">
        <f t="shared" si="20"/>
        <v>23</v>
      </c>
      <c r="B130" s="405"/>
      <c r="C130" s="411" t="s">
        <v>859</v>
      </c>
      <c r="D130" s="341" t="s">
        <v>832</v>
      </c>
      <c r="E130" s="338">
        <v>2</v>
      </c>
      <c r="F130" s="338">
        <v>25</v>
      </c>
      <c r="G130" s="338">
        <v>3</v>
      </c>
      <c r="H130" s="338">
        <f t="shared" si="18"/>
        <v>75</v>
      </c>
      <c r="I130" s="338">
        <f t="shared" si="21"/>
        <v>150</v>
      </c>
      <c r="J130" s="408">
        <v>2</v>
      </c>
      <c r="K130" s="341" t="s">
        <v>135</v>
      </c>
      <c r="L130" s="341" t="s">
        <v>823</v>
      </c>
      <c r="M130" s="570"/>
    </row>
    <row r="131" spans="1:13" s="571" customFormat="1" ht="27">
      <c r="A131" s="389">
        <f t="shared" si="20"/>
        <v>24</v>
      </c>
      <c r="B131" s="405"/>
      <c r="C131" s="411" t="s">
        <v>860</v>
      </c>
      <c r="D131" s="410" t="s">
        <v>832</v>
      </c>
      <c r="E131" s="338">
        <v>1</v>
      </c>
      <c r="F131" s="338">
        <v>25</v>
      </c>
      <c r="G131" s="338">
        <v>5</v>
      </c>
      <c r="H131" s="338">
        <f t="shared" si="18"/>
        <v>125</v>
      </c>
      <c r="I131" s="338">
        <f t="shared" si="21"/>
        <v>125</v>
      </c>
      <c r="J131" s="408">
        <v>2</v>
      </c>
      <c r="K131" s="341" t="s">
        <v>826</v>
      </c>
      <c r="L131" s="341" t="s">
        <v>823</v>
      </c>
      <c r="M131" s="570"/>
    </row>
    <row r="132" spans="1:13" s="571" customFormat="1" ht="27">
      <c r="A132" s="389">
        <f t="shared" si="20"/>
        <v>25</v>
      </c>
      <c r="B132" s="405"/>
      <c r="C132" s="411" t="s">
        <v>861</v>
      </c>
      <c r="D132" s="410" t="s">
        <v>832</v>
      </c>
      <c r="E132" s="338">
        <v>2</v>
      </c>
      <c r="F132" s="338">
        <v>25</v>
      </c>
      <c r="G132" s="338">
        <v>3</v>
      </c>
      <c r="H132" s="338">
        <f t="shared" si="18"/>
        <v>75</v>
      </c>
      <c r="I132" s="338">
        <f t="shared" si="21"/>
        <v>150</v>
      </c>
      <c r="J132" s="408">
        <v>2</v>
      </c>
      <c r="K132" s="341" t="s">
        <v>135</v>
      </c>
      <c r="L132" s="341" t="s">
        <v>823</v>
      </c>
      <c r="M132" s="570"/>
    </row>
    <row r="133" spans="1:13" s="571" customFormat="1" ht="27">
      <c r="A133" s="389">
        <f t="shared" si="20"/>
        <v>26</v>
      </c>
      <c r="B133" s="405"/>
      <c r="C133" s="411" t="s">
        <v>862</v>
      </c>
      <c r="D133" s="410" t="s">
        <v>832</v>
      </c>
      <c r="E133" s="338">
        <v>2</v>
      </c>
      <c r="F133" s="338">
        <v>25</v>
      </c>
      <c r="G133" s="338">
        <v>3</v>
      </c>
      <c r="H133" s="338">
        <f t="shared" si="18"/>
        <v>75</v>
      </c>
      <c r="I133" s="338">
        <f t="shared" si="21"/>
        <v>150</v>
      </c>
      <c r="J133" s="408">
        <v>2</v>
      </c>
      <c r="K133" s="341" t="s">
        <v>826</v>
      </c>
      <c r="L133" s="341" t="s">
        <v>823</v>
      </c>
      <c r="M133" s="570"/>
    </row>
    <row r="134" spans="1:13" s="571" customFormat="1" ht="27">
      <c r="A134" s="389">
        <f t="shared" si="20"/>
        <v>27</v>
      </c>
      <c r="B134" s="405"/>
      <c r="C134" s="335" t="s">
        <v>863</v>
      </c>
      <c r="D134" s="417" t="s">
        <v>834</v>
      </c>
      <c r="E134" s="337">
        <v>5</v>
      </c>
      <c r="F134" s="337">
        <v>25</v>
      </c>
      <c r="G134" s="338">
        <v>2</v>
      </c>
      <c r="H134" s="338">
        <f t="shared" si="18"/>
        <v>50</v>
      </c>
      <c r="I134" s="338">
        <f t="shared" si="21"/>
        <v>250</v>
      </c>
      <c r="J134" s="339">
        <v>5</v>
      </c>
      <c r="K134" s="341" t="s">
        <v>135</v>
      </c>
      <c r="L134" s="341" t="s">
        <v>823</v>
      </c>
      <c r="M134" s="570"/>
    </row>
    <row r="135" spans="1:13" s="571" customFormat="1" ht="27">
      <c r="A135" s="389">
        <f t="shared" si="20"/>
        <v>28</v>
      </c>
      <c r="B135" s="405"/>
      <c r="C135" s="417" t="s">
        <v>864</v>
      </c>
      <c r="D135" s="335" t="s">
        <v>272</v>
      </c>
      <c r="E135" s="337">
        <v>5</v>
      </c>
      <c r="F135" s="337">
        <v>25</v>
      </c>
      <c r="G135" s="338">
        <v>5</v>
      </c>
      <c r="H135" s="338">
        <f t="shared" si="18"/>
        <v>125</v>
      </c>
      <c r="I135" s="338">
        <f t="shared" si="21"/>
        <v>625</v>
      </c>
      <c r="J135" s="339">
        <v>12.5</v>
      </c>
      <c r="K135" s="341" t="s">
        <v>135</v>
      </c>
      <c r="L135" s="341" t="s">
        <v>823</v>
      </c>
      <c r="M135" s="570"/>
    </row>
    <row r="136" spans="1:13" s="571" customFormat="1" ht="27">
      <c r="A136" s="389">
        <f t="shared" si="20"/>
        <v>29</v>
      </c>
      <c r="B136" s="405"/>
      <c r="C136" s="335" t="s">
        <v>865</v>
      </c>
      <c r="D136" s="336" t="s">
        <v>835</v>
      </c>
      <c r="E136" s="337">
        <v>3</v>
      </c>
      <c r="F136" s="337">
        <v>25</v>
      </c>
      <c r="G136" s="338">
        <v>2</v>
      </c>
      <c r="H136" s="338">
        <f t="shared" si="18"/>
        <v>50</v>
      </c>
      <c r="I136" s="338">
        <f t="shared" si="21"/>
        <v>150</v>
      </c>
      <c r="J136" s="339">
        <v>5</v>
      </c>
      <c r="K136" s="341" t="s">
        <v>135</v>
      </c>
      <c r="L136" s="341" t="s">
        <v>823</v>
      </c>
      <c r="M136" s="570"/>
    </row>
    <row r="137" spans="1:13" s="571" customFormat="1" ht="27">
      <c r="A137" s="389">
        <f t="shared" si="20"/>
        <v>30</v>
      </c>
      <c r="B137" s="405"/>
      <c r="C137" s="335" t="s">
        <v>866</v>
      </c>
      <c r="D137" s="336" t="s">
        <v>835</v>
      </c>
      <c r="E137" s="337">
        <v>3</v>
      </c>
      <c r="F137" s="337">
        <v>25</v>
      </c>
      <c r="G137" s="338">
        <v>1</v>
      </c>
      <c r="H137" s="338">
        <f t="shared" si="18"/>
        <v>25</v>
      </c>
      <c r="I137" s="338">
        <f t="shared" si="21"/>
        <v>75</v>
      </c>
      <c r="J137" s="339">
        <v>2.5</v>
      </c>
      <c r="K137" s="340" t="s">
        <v>312</v>
      </c>
      <c r="L137" s="341" t="s">
        <v>823</v>
      </c>
      <c r="M137" s="570"/>
    </row>
    <row r="138" spans="1:13" s="571" customFormat="1" ht="27">
      <c r="A138" s="389">
        <f t="shared" si="20"/>
        <v>31</v>
      </c>
      <c r="B138" s="405"/>
      <c r="C138" s="335" t="s">
        <v>867</v>
      </c>
      <c r="D138" s="336" t="s">
        <v>835</v>
      </c>
      <c r="E138" s="337">
        <v>3</v>
      </c>
      <c r="F138" s="337">
        <v>25</v>
      </c>
      <c r="G138" s="338">
        <v>1</v>
      </c>
      <c r="H138" s="338">
        <f t="shared" si="18"/>
        <v>25</v>
      </c>
      <c r="I138" s="338">
        <f t="shared" si="21"/>
        <v>75</v>
      </c>
      <c r="J138" s="339">
        <v>2.5</v>
      </c>
      <c r="K138" s="340" t="s">
        <v>312</v>
      </c>
      <c r="L138" s="341" t="s">
        <v>823</v>
      </c>
      <c r="M138" s="570"/>
    </row>
    <row r="139" spans="1:13" s="571" customFormat="1" ht="27">
      <c r="A139" s="389">
        <f t="shared" si="20"/>
        <v>32</v>
      </c>
      <c r="B139" s="405"/>
      <c r="C139" s="335" t="s">
        <v>868</v>
      </c>
      <c r="D139" s="336" t="s">
        <v>835</v>
      </c>
      <c r="E139" s="337">
        <v>3</v>
      </c>
      <c r="F139" s="337">
        <v>25</v>
      </c>
      <c r="G139" s="338">
        <v>1</v>
      </c>
      <c r="H139" s="338">
        <f t="shared" si="18"/>
        <v>25</v>
      </c>
      <c r="I139" s="338">
        <f t="shared" si="21"/>
        <v>75</v>
      </c>
      <c r="J139" s="339">
        <v>2.5</v>
      </c>
      <c r="K139" s="341" t="s">
        <v>135</v>
      </c>
      <c r="L139" s="341" t="s">
        <v>823</v>
      </c>
      <c r="M139" s="570"/>
    </row>
    <row r="140" spans="1:13" s="571" customFormat="1" ht="27">
      <c r="A140" s="389">
        <f t="shared" si="20"/>
        <v>33</v>
      </c>
      <c r="B140" s="405"/>
      <c r="C140" s="335" t="s">
        <v>869</v>
      </c>
      <c r="D140" s="336" t="s">
        <v>835</v>
      </c>
      <c r="E140" s="337">
        <v>3</v>
      </c>
      <c r="F140" s="337">
        <v>25</v>
      </c>
      <c r="G140" s="338">
        <v>2</v>
      </c>
      <c r="H140" s="338">
        <f t="shared" si="18"/>
        <v>50</v>
      </c>
      <c r="I140" s="338">
        <f t="shared" si="21"/>
        <v>150</v>
      </c>
      <c r="J140" s="339">
        <v>5</v>
      </c>
      <c r="K140" s="340" t="s">
        <v>411</v>
      </c>
      <c r="L140" s="341" t="s">
        <v>823</v>
      </c>
      <c r="M140" s="570"/>
    </row>
    <row r="141" spans="1:13" s="571" customFormat="1" ht="27">
      <c r="A141" s="389">
        <f t="shared" si="20"/>
        <v>34</v>
      </c>
      <c r="B141" s="405"/>
      <c r="C141" s="335" t="s">
        <v>870</v>
      </c>
      <c r="D141" s="336" t="s">
        <v>835</v>
      </c>
      <c r="E141" s="337">
        <v>4</v>
      </c>
      <c r="F141" s="337">
        <v>25</v>
      </c>
      <c r="G141" s="338">
        <v>2</v>
      </c>
      <c r="H141" s="338">
        <f t="shared" si="18"/>
        <v>50</v>
      </c>
      <c r="I141" s="338">
        <f t="shared" si="21"/>
        <v>200</v>
      </c>
      <c r="J141" s="339">
        <v>5</v>
      </c>
      <c r="K141" s="340" t="s">
        <v>312</v>
      </c>
      <c r="L141" s="341" t="s">
        <v>823</v>
      </c>
      <c r="M141" s="570"/>
    </row>
    <row r="142" spans="1:13" s="569" customFormat="1" ht="15.75" customHeight="1">
      <c r="A142" s="398"/>
      <c r="B142" s="861" t="s">
        <v>1497</v>
      </c>
      <c r="C142" s="861"/>
      <c r="D142" s="836"/>
      <c r="E142" s="837">
        <f>SUM(E108:E141)</f>
        <v>83</v>
      </c>
      <c r="F142" s="837">
        <f t="shared" ref="F142:J142" si="22">SUM(F108:F141)</f>
        <v>868</v>
      </c>
      <c r="G142" s="837">
        <f t="shared" si="22"/>
        <v>596</v>
      </c>
      <c r="H142" s="837">
        <f t="shared" si="22"/>
        <v>16395</v>
      </c>
      <c r="I142" s="837">
        <f t="shared" si="22"/>
        <v>21515</v>
      </c>
      <c r="J142" s="838">
        <f t="shared" si="22"/>
        <v>180.90909090909091</v>
      </c>
      <c r="K142" s="839"/>
      <c r="L142" s="839"/>
      <c r="M142" s="568"/>
    </row>
    <row r="143" spans="1:13" ht="20.25">
      <c r="A143" s="363" t="s">
        <v>772</v>
      </c>
      <c r="B143" s="418"/>
      <c r="C143" s="418"/>
      <c r="D143" s="418"/>
      <c r="E143" s="418"/>
      <c r="F143" s="418"/>
      <c r="G143" s="418"/>
      <c r="H143" s="418"/>
      <c r="I143" s="418"/>
      <c r="J143" s="419"/>
      <c r="K143" s="420"/>
      <c r="L143" s="418"/>
    </row>
    <row r="144" spans="1:13" s="571" customFormat="1" ht="36">
      <c r="A144" s="421">
        <v>1</v>
      </c>
      <c r="B144" s="342" t="s">
        <v>275</v>
      </c>
      <c r="C144" s="343" t="s">
        <v>305</v>
      </c>
      <c r="D144" s="344" t="s">
        <v>276</v>
      </c>
      <c r="E144" s="332">
        <v>1</v>
      </c>
      <c r="F144" s="332">
        <v>50</v>
      </c>
      <c r="G144" s="332">
        <v>4</v>
      </c>
      <c r="H144" s="332">
        <f t="shared" ref="H144:H163" si="23">F144*G144</f>
        <v>200</v>
      </c>
      <c r="I144" s="332">
        <f t="shared" ref="I144:I163" si="24">H144*E144</f>
        <v>200</v>
      </c>
      <c r="J144" s="345">
        <v>10</v>
      </c>
      <c r="K144" s="343" t="s">
        <v>277</v>
      </c>
      <c r="L144" s="346" t="s">
        <v>734</v>
      </c>
      <c r="M144" s="570"/>
    </row>
    <row r="145" spans="1:13" s="571" customFormat="1" ht="36">
      <c r="A145" s="421">
        <v>2</v>
      </c>
      <c r="B145" s="342" t="s">
        <v>275</v>
      </c>
      <c r="C145" s="343" t="s">
        <v>305</v>
      </c>
      <c r="D145" s="344" t="s">
        <v>735</v>
      </c>
      <c r="E145" s="332">
        <v>4</v>
      </c>
      <c r="F145" s="332">
        <v>30</v>
      </c>
      <c r="G145" s="332">
        <v>4</v>
      </c>
      <c r="H145" s="332">
        <f t="shared" si="23"/>
        <v>120</v>
      </c>
      <c r="I145" s="332">
        <f t="shared" si="24"/>
        <v>480</v>
      </c>
      <c r="J145" s="345">
        <v>10</v>
      </c>
      <c r="K145" s="343" t="s">
        <v>277</v>
      </c>
      <c r="L145" s="346" t="s">
        <v>736</v>
      </c>
      <c r="M145" s="570"/>
    </row>
    <row r="146" spans="1:13" s="571" customFormat="1" ht="36">
      <c r="A146" s="421">
        <v>3</v>
      </c>
      <c r="B146" s="342" t="s">
        <v>278</v>
      </c>
      <c r="C146" s="343" t="s">
        <v>279</v>
      </c>
      <c r="D146" s="344" t="s">
        <v>737</v>
      </c>
      <c r="E146" s="332">
        <v>5</v>
      </c>
      <c r="F146" s="332">
        <v>25</v>
      </c>
      <c r="G146" s="332">
        <v>10</v>
      </c>
      <c r="H146" s="332">
        <f t="shared" si="23"/>
        <v>250</v>
      </c>
      <c r="I146" s="332">
        <f t="shared" si="24"/>
        <v>1250</v>
      </c>
      <c r="J146" s="345">
        <v>20</v>
      </c>
      <c r="K146" s="343" t="s">
        <v>277</v>
      </c>
      <c r="L146" s="346" t="s">
        <v>738</v>
      </c>
      <c r="M146" s="570"/>
    </row>
    <row r="147" spans="1:13" s="571" customFormat="1" ht="36">
      <c r="A147" s="421">
        <v>4</v>
      </c>
      <c r="B147" s="342" t="s">
        <v>15</v>
      </c>
      <c r="C147" s="343" t="s">
        <v>343</v>
      </c>
      <c r="D147" s="344" t="s">
        <v>280</v>
      </c>
      <c r="E147" s="332">
        <v>5</v>
      </c>
      <c r="F147" s="332">
        <v>25</v>
      </c>
      <c r="G147" s="332">
        <v>5</v>
      </c>
      <c r="H147" s="332">
        <f t="shared" si="23"/>
        <v>125</v>
      </c>
      <c r="I147" s="332">
        <f t="shared" si="24"/>
        <v>625</v>
      </c>
      <c r="J147" s="345">
        <v>6</v>
      </c>
      <c r="K147" s="343" t="s">
        <v>277</v>
      </c>
      <c r="L147" s="346" t="s">
        <v>739</v>
      </c>
      <c r="M147" s="570"/>
    </row>
    <row r="148" spans="1:13" s="571" customFormat="1" ht="36">
      <c r="A148" s="421">
        <v>5</v>
      </c>
      <c r="B148" s="342" t="s">
        <v>436</v>
      </c>
      <c r="C148" s="343" t="s">
        <v>740</v>
      </c>
      <c r="D148" s="344" t="s">
        <v>280</v>
      </c>
      <c r="E148" s="332">
        <v>5</v>
      </c>
      <c r="F148" s="332">
        <v>20</v>
      </c>
      <c r="G148" s="332">
        <v>10</v>
      </c>
      <c r="H148" s="332">
        <f t="shared" si="23"/>
        <v>200</v>
      </c>
      <c r="I148" s="332">
        <f t="shared" si="24"/>
        <v>1000</v>
      </c>
      <c r="J148" s="345">
        <v>10</v>
      </c>
      <c r="K148" s="343" t="s">
        <v>277</v>
      </c>
      <c r="L148" s="346" t="s">
        <v>741</v>
      </c>
      <c r="M148" s="570"/>
    </row>
    <row r="149" spans="1:13" s="571" customFormat="1" ht="36">
      <c r="A149" s="421">
        <v>6</v>
      </c>
      <c r="B149" s="342" t="s">
        <v>281</v>
      </c>
      <c r="C149" s="343" t="s">
        <v>282</v>
      </c>
      <c r="D149" s="344" t="s">
        <v>737</v>
      </c>
      <c r="E149" s="332">
        <v>5</v>
      </c>
      <c r="F149" s="332">
        <v>25</v>
      </c>
      <c r="G149" s="332">
        <v>10</v>
      </c>
      <c r="H149" s="332">
        <f t="shared" si="23"/>
        <v>250</v>
      </c>
      <c r="I149" s="332">
        <f t="shared" si="24"/>
        <v>1250</v>
      </c>
      <c r="J149" s="345">
        <v>20</v>
      </c>
      <c r="K149" s="343" t="s">
        <v>277</v>
      </c>
      <c r="L149" s="346" t="s">
        <v>742</v>
      </c>
      <c r="M149" s="570"/>
    </row>
    <row r="150" spans="1:13" s="571" customFormat="1" ht="36">
      <c r="A150" s="421">
        <v>7</v>
      </c>
      <c r="B150" s="342" t="s">
        <v>283</v>
      </c>
      <c r="C150" s="343" t="s">
        <v>743</v>
      </c>
      <c r="D150" s="344" t="s">
        <v>744</v>
      </c>
      <c r="E150" s="332">
        <v>5</v>
      </c>
      <c r="F150" s="332">
        <v>25</v>
      </c>
      <c r="G150" s="332">
        <v>10</v>
      </c>
      <c r="H150" s="332">
        <f t="shared" si="23"/>
        <v>250</v>
      </c>
      <c r="I150" s="332">
        <f t="shared" si="24"/>
        <v>1250</v>
      </c>
      <c r="J150" s="345">
        <v>20</v>
      </c>
      <c r="K150" s="343" t="s">
        <v>277</v>
      </c>
      <c r="L150" s="346" t="s">
        <v>745</v>
      </c>
      <c r="M150" s="570"/>
    </row>
    <row r="151" spans="1:13" s="571" customFormat="1" ht="36">
      <c r="A151" s="421">
        <v>8</v>
      </c>
      <c r="B151" s="342" t="s">
        <v>10</v>
      </c>
      <c r="C151" s="343" t="s">
        <v>746</v>
      </c>
      <c r="D151" s="344" t="s">
        <v>747</v>
      </c>
      <c r="E151" s="332">
        <v>5</v>
      </c>
      <c r="F151" s="332">
        <v>25</v>
      </c>
      <c r="G151" s="332">
        <v>8</v>
      </c>
      <c r="H151" s="332">
        <f t="shared" si="23"/>
        <v>200</v>
      </c>
      <c r="I151" s="332">
        <f t="shared" si="24"/>
        <v>1000</v>
      </c>
      <c r="J151" s="345">
        <v>10</v>
      </c>
      <c r="K151" s="343" t="s">
        <v>277</v>
      </c>
      <c r="L151" s="346" t="s">
        <v>748</v>
      </c>
      <c r="M151" s="570"/>
    </row>
    <row r="152" spans="1:13" s="571" customFormat="1" ht="36">
      <c r="A152" s="421">
        <v>9</v>
      </c>
      <c r="B152" s="342" t="s">
        <v>284</v>
      </c>
      <c r="C152" s="343" t="s">
        <v>749</v>
      </c>
      <c r="D152" s="344" t="s">
        <v>750</v>
      </c>
      <c r="E152" s="332">
        <v>4</v>
      </c>
      <c r="F152" s="332">
        <v>10</v>
      </c>
      <c r="G152" s="332">
        <v>50</v>
      </c>
      <c r="H152" s="332">
        <f t="shared" si="23"/>
        <v>500</v>
      </c>
      <c r="I152" s="332">
        <f t="shared" si="24"/>
        <v>2000</v>
      </c>
      <c r="J152" s="345">
        <v>35</v>
      </c>
      <c r="K152" s="343" t="s">
        <v>285</v>
      </c>
      <c r="L152" s="346" t="s">
        <v>751</v>
      </c>
      <c r="M152" s="570"/>
    </row>
    <row r="153" spans="1:13" s="571" customFormat="1" ht="36">
      <c r="A153" s="421">
        <v>10</v>
      </c>
      <c r="B153" s="342" t="s">
        <v>286</v>
      </c>
      <c r="C153" s="343" t="s">
        <v>752</v>
      </c>
      <c r="D153" s="344" t="s">
        <v>750</v>
      </c>
      <c r="E153" s="332">
        <v>10</v>
      </c>
      <c r="F153" s="332">
        <v>10</v>
      </c>
      <c r="G153" s="332">
        <v>50</v>
      </c>
      <c r="H153" s="332">
        <f t="shared" si="23"/>
        <v>500</v>
      </c>
      <c r="I153" s="332">
        <f t="shared" si="24"/>
        <v>5000</v>
      </c>
      <c r="J153" s="345">
        <v>35</v>
      </c>
      <c r="K153" s="343" t="s">
        <v>287</v>
      </c>
      <c r="L153" s="346" t="s">
        <v>753</v>
      </c>
      <c r="M153" s="570"/>
    </row>
    <row r="154" spans="1:13" s="571" customFormat="1" ht="36">
      <c r="A154" s="421">
        <v>11</v>
      </c>
      <c r="B154" s="342" t="s">
        <v>286</v>
      </c>
      <c r="C154" s="343" t="s">
        <v>754</v>
      </c>
      <c r="D154" s="344" t="s">
        <v>750</v>
      </c>
      <c r="E154" s="332">
        <v>10</v>
      </c>
      <c r="F154" s="332">
        <v>10</v>
      </c>
      <c r="G154" s="332">
        <v>50</v>
      </c>
      <c r="H154" s="332">
        <f t="shared" si="23"/>
        <v>500</v>
      </c>
      <c r="I154" s="332">
        <f t="shared" si="24"/>
        <v>5000</v>
      </c>
      <c r="J154" s="345">
        <v>35</v>
      </c>
      <c r="K154" s="343" t="s">
        <v>287</v>
      </c>
      <c r="L154" s="346" t="s">
        <v>755</v>
      </c>
      <c r="M154" s="570"/>
    </row>
    <row r="155" spans="1:13" s="571" customFormat="1" ht="36">
      <c r="A155" s="421">
        <v>12</v>
      </c>
      <c r="B155" s="342" t="s">
        <v>288</v>
      </c>
      <c r="C155" s="343" t="s">
        <v>756</v>
      </c>
      <c r="D155" s="344" t="s">
        <v>750</v>
      </c>
      <c r="E155" s="332">
        <v>4</v>
      </c>
      <c r="F155" s="332">
        <v>10</v>
      </c>
      <c r="G155" s="332">
        <v>50</v>
      </c>
      <c r="H155" s="332">
        <f t="shared" si="23"/>
        <v>500</v>
      </c>
      <c r="I155" s="332">
        <f t="shared" si="24"/>
        <v>2000</v>
      </c>
      <c r="J155" s="345">
        <v>35</v>
      </c>
      <c r="K155" s="343" t="s">
        <v>287</v>
      </c>
      <c r="L155" s="346" t="s">
        <v>757</v>
      </c>
      <c r="M155" s="570"/>
    </row>
    <row r="156" spans="1:13" s="571" customFormat="1" ht="36">
      <c r="A156" s="421">
        <v>13</v>
      </c>
      <c r="B156" s="342" t="s">
        <v>289</v>
      </c>
      <c r="C156" s="343" t="s">
        <v>758</v>
      </c>
      <c r="D156" s="344" t="s">
        <v>750</v>
      </c>
      <c r="E156" s="332">
        <v>120</v>
      </c>
      <c r="F156" s="332">
        <v>8</v>
      </c>
      <c r="G156" s="332">
        <v>50</v>
      </c>
      <c r="H156" s="332">
        <f t="shared" si="23"/>
        <v>400</v>
      </c>
      <c r="I156" s="332">
        <f t="shared" si="24"/>
        <v>48000</v>
      </c>
      <c r="J156" s="345">
        <v>35</v>
      </c>
      <c r="K156" s="343" t="s">
        <v>287</v>
      </c>
      <c r="L156" s="346" t="s">
        <v>755</v>
      </c>
      <c r="M156" s="570"/>
    </row>
    <row r="157" spans="1:13" s="571" customFormat="1" ht="36">
      <c r="A157" s="421">
        <v>14</v>
      </c>
      <c r="B157" s="342" t="s">
        <v>290</v>
      </c>
      <c r="C157" s="343" t="s">
        <v>759</v>
      </c>
      <c r="D157" s="344" t="s">
        <v>750</v>
      </c>
      <c r="E157" s="332">
        <v>1</v>
      </c>
      <c r="F157" s="332">
        <v>60</v>
      </c>
      <c r="G157" s="332">
        <v>50</v>
      </c>
      <c r="H157" s="332">
        <f t="shared" si="23"/>
        <v>3000</v>
      </c>
      <c r="I157" s="332">
        <f t="shared" si="24"/>
        <v>3000</v>
      </c>
      <c r="J157" s="345">
        <v>40</v>
      </c>
      <c r="K157" s="343" t="s">
        <v>287</v>
      </c>
      <c r="L157" s="346" t="s">
        <v>760</v>
      </c>
      <c r="M157" s="570"/>
    </row>
    <row r="158" spans="1:13" s="571" customFormat="1" ht="36">
      <c r="A158" s="421">
        <v>15</v>
      </c>
      <c r="B158" s="342" t="s">
        <v>291</v>
      </c>
      <c r="C158" s="343" t="s">
        <v>761</v>
      </c>
      <c r="D158" s="344" t="s">
        <v>750</v>
      </c>
      <c r="E158" s="332">
        <v>5</v>
      </c>
      <c r="F158" s="332">
        <v>10</v>
      </c>
      <c r="G158" s="332">
        <v>10</v>
      </c>
      <c r="H158" s="332">
        <f t="shared" si="23"/>
        <v>100</v>
      </c>
      <c r="I158" s="332">
        <f t="shared" si="24"/>
        <v>500</v>
      </c>
      <c r="J158" s="345">
        <v>8</v>
      </c>
      <c r="K158" s="343" t="s">
        <v>285</v>
      </c>
      <c r="L158" s="346" t="s">
        <v>762</v>
      </c>
      <c r="M158" s="570"/>
    </row>
    <row r="159" spans="1:13" s="571" customFormat="1" ht="36">
      <c r="A159" s="421">
        <v>16</v>
      </c>
      <c r="B159" s="342" t="s">
        <v>292</v>
      </c>
      <c r="C159" s="343" t="s">
        <v>763</v>
      </c>
      <c r="D159" s="344" t="s">
        <v>750</v>
      </c>
      <c r="E159" s="332">
        <v>5</v>
      </c>
      <c r="F159" s="332">
        <v>10</v>
      </c>
      <c r="G159" s="332">
        <v>10</v>
      </c>
      <c r="H159" s="332">
        <f t="shared" si="23"/>
        <v>100</v>
      </c>
      <c r="I159" s="332">
        <f t="shared" si="24"/>
        <v>500</v>
      </c>
      <c r="J159" s="345">
        <v>8</v>
      </c>
      <c r="K159" s="343" t="s">
        <v>285</v>
      </c>
      <c r="L159" s="346" t="s">
        <v>762</v>
      </c>
      <c r="M159" s="570"/>
    </row>
    <row r="160" spans="1:13" s="571" customFormat="1" ht="36">
      <c r="A160" s="421">
        <v>17</v>
      </c>
      <c r="B160" s="342" t="s">
        <v>293</v>
      </c>
      <c r="C160" s="343" t="s">
        <v>764</v>
      </c>
      <c r="D160" s="344" t="s">
        <v>750</v>
      </c>
      <c r="E160" s="332">
        <v>5</v>
      </c>
      <c r="F160" s="332">
        <v>10</v>
      </c>
      <c r="G160" s="332">
        <v>10</v>
      </c>
      <c r="H160" s="332">
        <f t="shared" si="23"/>
        <v>100</v>
      </c>
      <c r="I160" s="332">
        <f t="shared" si="24"/>
        <v>500</v>
      </c>
      <c r="J160" s="345">
        <v>8</v>
      </c>
      <c r="K160" s="343" t="s">
        <v>285</v>
      </c>
      <c r="L160" s="346" t="s">
        <v>765</v>
      </c>
      <c r="M160" s="570"/>
    </row>
    <row r="161" spans="1:13" s="571" customFormat="1" ht="36">
      <c r="A161" s="421">
        <v>18</v>
      </c>
      <c r="B161" s="342" t="s">
        <v>294</v>
      </c>
      <c r="C161" s="343" t="s">
        <v>766</v>
      </c>
      <c r="D161" s="344" t="s">
        <v>750</v>
      </c>
      <c r="E161" s="332">
        <v>5</v>
      </c>
      <c r="F161" s="332">
        <v>10</v>
      </c>
      <c r="G161" s="332">
        <v>10</v>
      </c>
      <c r="H161" s="332">
        <f t="shared" si="23"/>
        <v>100</v>
      </c>
      <c r="I161" s="332">
        <f t="shared" si="24"/>
        <v>500</v>
      </c>
      <c r="J161" s="345">
        <v>8</v>
      </c>
      <c r="K161" s="343" t="s">
        <v>285</v>
      </c>
      <c r="L161" s="346" t="s">
        <v>767</v>
      </c>
      <c r="M161" s="570"/>
    </row>
    <row r="162" spans="1:13" s="571" customFormat="1" ht="36">
      <c r="A162" s="421">
        <v>19</v>
      </c>
      <c r="B162" s="342" t="s">
        <v>295</v>
      </c>
      <c r="C162" s="343" t="s">
        <v>768</v>
      </c>
      <c r="D162" s="344" t="s">
        <v>750</v>
      </c>
      <c r="E162" s="332">
        <v>5</v>
      </c>
      <c r="F162" s="332">
        <v>10</v>
      </c>
      <c r="G162" s="332">
        <v>10</v>
      </c>
      <c r="H162" s="332">
        <f t="shared" si="23"/>
        <v>100</v>
      </c>
      <c r="I162" s="332">
        <f t="shared" si="24"/>
        <v>500</v>
      </c>
      <c r="J162" s="345">
        <v>8</v>
      </c>
      <c r="K162" s="343" t="s">
        <v>285</v>
      </c>
      <c r="L162" s="346" t="s">
        <v>769</v>
      </c>
      <c r="M162" s="570"/>
    </row>
    <row r="163" spans="1:13" s="571" customFormat="1" ht="36">
      <c r="A163" s="421">
        <v>20</v>
      </c>
      <c r="B163" s="342" t="s">
        <v>325</v>
      </c>
      <c r="C163" s="343" t="s">
        <v>770</v>
      </c>
      <c r="D163" s="344" t="s">
        <v>208</v>
      </c>
      <c r="E163" s="332">
        <v>5</v>
      </c>
      <c r="F163" s="332">
        <v>20</v>
      </c>
      <c r="G163" s="332">
        <v>10</v>
      </c>
      <c r="H163" s="332">
        <f t="shared" si="23"/>
        <v>200</v>
      </c>
      <c r="I163" s="332">
        <f t="shared" si="24"/>
        <v>1000</v>
      </c>
      <c r="J163" s="345">
        <v>20</v>
      </c>
      <c r="K163" s="343" t="s">
        <v>277</v>
      </c>
      <c r="L163" s="346" t="s">
        <v>771</v>
      </c>
      <c r="M163" s="570"/>
    </row>
    <row r="164" spans="1:13" ht="24" customHeight="1">
      <c r="A164" s="422"/>
      <c r="B164" s="862" t="s">
        <v>1500</v>
      </c>
      <c r="C164" s="862"/>
      <c r="D164" s="422"/>
      <c r="E164" s="422"/>
      <c r="F164" s="422"/>
      <c r="G164" s="422">
        <f>SUM(G144:G163)</f>
        <v>421</v>
      </c>
      <c r="H164" s="422">
        <f t="shared" ref="H164:J164" si="25">SUM(H144:H163)</f>
        <v>7695</v>
      </c>
      <c r="I164" s="422">
        <f t="shared" si="25"/>
        <v>75555</v>
      </c>
      <c r="J164" s="423">
        <f t="shared" si="25"/>
        <v>381</v>
      </c>
      <c r="K164" s="424"/>
      <c r="L164" s="422"/>
    </row>
    <row r="165" spans="1:13" ht="24" customHeight="1">
      <c r="A165" s="363" t="s">
        <v>1544</v>
      </c>
      <c r="B165" s="420"/>
      <c r="C165" s="420"/>
      <c r="D165" s="418"/>
      <c r="E165" s="418"/>
      <c r="F165" s="418"/>
      <c r="G165" s="418"/>
      <c r="H165" s="418"/>
      <c r="I165" s="418"/>
      <c r="J165" s="419"/>
      <c r="K165" s="420"/>
      <c r="L165" s="418"/>
    </row>
    <row r="166" spans="1:13" s="571" customFormat="1" ht="24" customHeight="1">
      <c r="A166" s="421">
        <v>1</v>
      </c>
      <c r="B166" s="342"/>
      <c r="C166" s="343" t="s">
        <v>773</v>
      </c>
      <c r="D166" s="344" t="s">
        <v>774</v>
      </c>
      <c r="E166" s="332">
        <v>1</v>
      </c>
      <c r="F166" s="332">
        <v>18</v>
      </c>
      <c r="G166" s="332">
        <v>1</v>
      </c>
      <c r="H166" s="332">
        <f t="shared" ref="H166:H181" si="26">F166*G166</f>
        <v>18</v>
      </c>
      <c r="I166" s="332">
        <f t="shared" ref="I166:I181" si="27">H166*E166</f>
        <v>18</v>
      </c>
      <c r="J166" s="345">
        <v>0.63</v>
      </c>
      <c r="K166" s="343" t="s">
        <v>277</v>
      </c>
      <c r="L166" s="346" t="s">
        <v>775</v>
      </c>
      <c r="M166" s="570"/>
    </row>
    <row r="167" spans="1:13" s="571" customFormat="1" ht="24" customHeight="1">
      <c r="A167" s="421">
        <v>2</v>
      </c>
      <c r="B167" s="342"/>
      <c r="C167" s="343" t="s">
        <v>776</v>
      </c>
      <c r="D167" s="344" t="s">
        <v>777</v>
      </c>
      <c r="E167" s="332">
        <v>1</v>
      </c>
      <c r="F167" s="332">
        <v>108</v>
      </c>
      <c r="G167" s="332">
        <v>2</v>
      </c>
      <c r="H167" s="332">
        <f t="shared" si="26"/>
        <v>216</v>
      </c>
      <c r="I167" s="332">
        <f t="shared" si="27"/>
        <v>216</v>
      </c>
      <c r="J167" s="345">
        <v>6.09</v>
      </c>
      <c r="K167" s="343" t="s">
        <v>778</v>
      </c>
      <c r="L167" s="346" t="s">
        <v>779</v>
      </c>
      <c r="M167" s="570"/>
    </row>
    <row r="168" spans="1:13" s="571" customFormat="1" ht="24" customHeight="1">
      <c r="A168" s="421">
        <v>3</v>
      </c>
      <c r="B168" s="342"/>
      <c r="C168" s="343" t="s">
        <v>780</v>
      </c>
      <c r="D168" s="344" t="s">
        <v>781</v>
      </c>
      <c r="E168" s="332">
        <v>1</v>
      </c>
      <c r="F168" s="332">
        <v>36</v>
      </c>
      <c r="G168" s="332">
        <v>2</v>
      </c>
      <c r="H168" s="332">
        <f t="shared" si="26"/>
        <v>72</v>
      </c>
      <c r="I168" s="332">
        <f t="shared" si="27"/>
        <v>72</v>
      </c>
      <c r="J168" s="345">
        <v>2.16</v>
      </c>
      <c r="K168" s="343" t="s">
        <v>277</v>
      </c>
      <c r="L168" s="346" t="s">
        <v>782</v>
      </c>
      <c r="M168" s="570"/>
    </row>
    <row r="169" spans="1:13" s="571" customFormat="1" ht="24" customHeight="1">
      <c r="A169" s="421">
        <v>4</v>
      </c>
      <c r="B169" s="342"/>
      <c r="C169" s="343" t="s">
        <v>783</v>
      </c>
      <c r="D169" s="344" t="s">
        <v>784</v>
      </c>
      <c r="E169" s="332">
        <v>1</v>
      </c>
      <c r="F169" s="332">
        <v>36</v>
      </c>
      <c r="G169" s="332">
        <v>2</v>
      </c>
      <c r="H169" s="332">
        <f t="shared" si="26"/>
        <v>72</v>
      </c>
      <c r="I169" s="332">
        <f t="shared" si="27"/>
        <v>72</v>
      </c>
      <c r="J169" s="345">
        <v>2.16</v>
      </c>
      <c r="K169" s="343" t="s">
        <v>277</v>
      </c>
      <c r="L169" s="346" t="s">
        <v>785</v>
      </c>
      <c r="M169" s="570"/>
    </row>
    <row r="170" spans="1:13" s="571" customFormat="1" ht="24" customHeight="1">
      <c r="A170" s="421">
        <v>5</v>
      </c>
      <c r="B170" s="342"/>
      <c r="C170" s="343" t="s">
        <v>786</v>
      </c>
      <c r="D170" s="344" t="s">
        <v>787</v>
      </c>
      <c r="E170" s="332">
        <v>1</v>
      </c>
      <c r="F170" s="332">
        <v>18</v>
      </c>
      <c r="G170" s="332">
        <v>3</v>
      </c>
      <c r="H170" s="332">
        <f t="shared" si="26"/>
        <v>54</v>
      </c>
      <c r="I170" s="332">
        <f t="shared" si="27"/>
        <v>54</v>
      </c>
      <c r="J170" s="345">
        <v>1.07</v>
      </c>
      <c r="K170" s="343" t="s">
        <v>277</v>
      </c>
      <c r="L170" s="346" t="s">
        <v>788</v>
      </c>
      <c r="M170" s="570"/>
    </row>
    <row r="171" spans="1:13" s="571" customFormat="1" ht="24" customHeight="1">
      <c r="A171" s="421">
        <v>6</v>
      </c>
      <c r="B171" s="342"/>
      <c r="C171" s="343" t="s">
        <v>789</v>
      </c>
      <c r="D171" s="344" t="s">
        <v>790</v>
      </c>
      <c r="E171" s="332">
        <v>1</v>
      </c>
      <c r="F171" s="332">
        <v>90</v>
      </c>
      <c r="G171" s="332">
        <v>1</v>
      </c>
      <c r="H171" s="332">
        <f t="shared" si="26"/>
        <v>90</v>
      </c>
      <c r="I171" s="332">
        <f t="shared" si="27"/>
        <v>90</v>
      </c>
      <c r="J171" s="345">
        <v>2.19</v>
      </c>
      <c r="K171" s="343" t="s">
        <v>277</v>
      </c>
      <c r="L171" s="346" t="s">
        <v>791</v>
      </c>
      <c r="M171" s="570"/>
    </row>
    <row r="172" spans="1:13" s="571" customFormat="1" ht="24" customHeight="1">
      <c r="A172" s="421">
        <v>7</v>
      </c>
      <c r="B172" s="342"/>
      <c r="C172" s="343" t="s">
        <v>792</v>
      </c>
      <c r="D172" s="344" t="s">
        <v>793</v>
      </c>
      <c r="E172" s="332">
        <v>1</v>
      </c>
      <c r="F172" s="332">
        <v>81</v>
      </c>
      <c r="G172" s="332">
        <v>2</v>
      </c>
      <c r="H172" s="332">
        <f t="shared" si="26"/>
        <v>162</v>
      </c>
      <c r="I172" s="332">
        <f t="shared" si="27"/>
        <v>162</v>
      </c>
      <c r="J172" s="345">
        <v>4.5999999999999996</v>
      </c>
      <c r="K172" s="343" t="s">
        <v>778</v>
      </c>
      <c r="L172" s="346" t="s">
        <v>794</v>
      </c>
      <c r="M172" s="570"/>
    </row>
    <row r="173" spans="1:13" s="571" customFormat="1" ht="24" customHeight="1">
      <c r="A173" s="421">
        <v>8</v>
      </c>
      <c r="B173" s="342"/>
      <c r="C173" s="343" t="s">
        <v>795</v>
      </c>
      <c r="D173" s="344" t="s">
        <v>796</v>
      </c>
      <c r="E173" s="332">
        <v>1</v>
      </c>
      <c r="F173" s="332">
        <v>90</v>
      </c>
      <c r="G173" s="332">
        <v>6</v>
      </c>
      <c r="H173" s="332">
        <f t="shared" si="26"/>
        <v>540</v>
      </c>
      <c r="I173" s="332">
        <f t="shared" si="27"/>
        <v>540</v>
      </c>
      <c r="J173" s="345">
        <v>15</v>
      </c>
      <c r="K173" s="343" t="s">
        <v>778</v>
      </c>
      <c r="L173" s="346" t="s">
        <v>797</v>
      </c>
      <c r="M173" s="570"/>
    </row>
    <row r="174" spans="1:13" s="571" customFormat="1" ht="24" customHeight="1">
      <c r="A174" s="421">
        <v>9</v>
      </c>
      <c r="B174" s="342"/>
      <c r="C174" s="343" t="s">
        <v>798</v>
      </c>
      <c r="D174" s="344" t="s">
        <v>799</v>
      </c>
      <c r="E174" s="332">
        <v>1</v>
      </c>
      <c r="F174" s="332">
        <v>18</v>
      </c>
      <c r="G174" s="332">
        <v>1</v>
      </c>
      <c r="H174" s="332">
        <f t="shared" si="26"/>
        <v>18</v>
      </c>
      <c r="I174" s="332">
        <f t="shared" si="27"/>
        <v>18</v>
      </c>
      <c r="J174" s="345">
        <v>0.64</v>
      </c>
      <c r="K174" s="343" t="s">
        <v>277</v>
      </c>
      <c r="L174" s="346" t="s">
        <v>800</v>
      </c>
      <c r="M174" s="570"/>
    </row>
    <row r="175" spans="1:13" s="571" customFormat="1" ht="24" customHeight="1">
      <c r="A175" s="421">
        <v>10</v>
      </c>
      <c r="B175" s="342"/>
      <c r="C175" s="343" t="s">
        <v>801</v>
      </c>
      <c r="D175" s="344" t="s">
        <v>802</v>
      </c>
      <c r="E175" s="332">
        <v>2</v>
      </c>
      <c r="F175" s="332">
        <v>18</v>
      </c>
      <c r="G175" s="332">
        <v>2</v>
      </c>
      <c r="H175" s="332">
        <f t="shared" si="26"/>
        <v>36</v>
      </c>
      <c r="I175" s="332">
        <f t="shared" si="27"/>
        <v>72</v>
      </c>
      <c r="J175" s="345">
        <v>2.16</v>
      </c>
      <c r="K175" s="343" t="s">
        <v>778</v>
      </c>
      <c r="L175" s="346" t="s">
        <v>803</v>
      </c>
      <c r="M175" s="570"/>
    </row>
    <row r="176" spans="1:13" s="571" customFormat="1" ht="24" customHeight="1">
      <c r="A176" s="421">
        <v>11</v>
      </c>
      <c r="B176" s="342"/>
      <c r="C176" s="343" t="s">
        <v>804</v>
      </c>
      <c r="D176" s="344" t="s">
        <v>805</v>
      </c>
      <c r="E176" s="332">
        <v>5</v>
      </c>
      <c r="F176" s="332">
        <v>18</v>
      </c>
      <c r="G176" s="332">
        <v>5</v>
      </c>
      <c r="H176" s="332">
        <f t="shared" si="26"/>
        <v>90</v>
      </c>
      <c r="I176" s="332">
        <f t="shared" si="27"/>
        <v>450</v>
      </c>
      <c r="J176" s="345">
        <v>12.71</v>
      </c>
      <c r="K176" s="343" t="s">
        <v>778</v>
      </c>
      <c r="L176" s="346" t="s">
        <v>806</v>
      </c>
      <c r="M176" s="570"/>
    </row>
    <row r="177" spans="1:13" s="571" customFormat="1" ht="24" customHeight="1">
      <c r="A177" s="421">
        <v>12</v>
      </c>
      <c r="B177" s="342"/>
      <c r="C177" s="343" t="s">
        <v>807</v>
      </c>
      <c r="D177" s="344" t="s">
        <v>808</v>
      </c>
      <c r="E177" s="332">
        <v>1</v>
      </c>
      <c r="F177" s="332">
        <v>54</v>
      </c>
      <c r="G177" s="332">
        <v>2</v>
      </c>
      <c r="H177" s="332">
        <f t="shared" si="26"/>
        <v>108</v>
      </c>
      <c r="I177" s="332">
        <f t="shared" si="27"/>
        <v>108</v>
      </c>
      <c r="J177" s="345">
        <v>3.15</v>
      </c>
      <c r="K177" s="343" t="s">
        <v>277</v>
      </c>
      <c r="L177" s="346" t="s">
        <v>809</v>
      </c>
      <c r="M177" s="570"/>
    </row>
    <row r="178" spans="1:13" s="571" customFormat="1" ht="24" customHeight="1">
      <c r="A178" s="421">
        <v>13</v>
      </c>
      <c r="B178" s="342"/>
      <c r="C178" s="343" t="s">
        <v>810</v>
      </c>
      <c r="D178" s="344" t="s">
        <v>811</v>
      </c>
      <c r="E178" s="332">
        <v>3</v>
      </c>
      <c r="F178" s="332">
        <v>36</v>
      </c>
      <c r="G178" s="332">
        <v>2</v>
      </c>
      <c r="H178" s="332">
        <f t="shared" si="26"/>
        <v>72</v>
      </c>
      <c r="I178" s="332">
        <f t="shared" si="27"/>
        <v>216</v>
      </c>
      <c r="J178" s="345">
        <v>7.13</v>
      </c>
      <c r="K178" s="343" t="s">
        <v>277</v>
      </c>
      <c r="L178" s="346" t="s">
        <v>812</v>
      </c>
      <c r="M178" s="570"/>
    </row>
    <row r="179" spans="1:13" s="571" customFormat="1" ht="24" customHeight="1">
      <c r="A179" s="421">
        <v>14</v>
      </c>
      <c r="B179" s="342"/>
      <c r="C179" s="343" t="s">
        <v>813</v>
      </c>
      <c r="D179" s="344" t="s">
        <v>814</v>
      </c>
      <c r="E179" s="332">
        <v>3</v>
      </c>
      <c r="F179" s="332">
        <v>27</v>
      </c>
      <c r="G179" s="332">
        <v>2</v>
      </c>
      <c r="H179" s="332">
        <f t="shared" si="26"/>
        <v>54</v>
      </c>
      <c r="I179" s="332">
        <f t="shared" si="27"/>
        <v>162</v>
      </c>
      <c r="J179" s="345">
        <v>4.6900000000000004</v>
      </c>
      <c r="K179" s="343" t="s">
        <v>778</v>
      </c>
      <c r="L179" s="346" t="s">
        <v>815</v>
      </c>
      <c r="M179" s="570"/>
    </row>
    <row r="180" spans="1:13" s="571" customFormat="1" ht="24" customHeight="1">
      <c r="A180" s="421">
        <v>15</v>
      </c>
      <c r="B180" s="342"/>
      <c r="C180" s="343" t="s">
        <v>816</v>
      </c>
      <c r="D180" s="344" t="s">
        <v>817</v>
      </c>
      <c r="E180" s="332">
        <v>3</v>
      </c>
      <c r="F180" s="332">
        <v>27</v>
      </c>
      <c r="G180" s="332">
        <v>2</v>
      </c>
      <c r="H180" s="332">
        <f t="shared" si="26"/>
        <v>54</v>
      </c>
      <c r="I180" s="332">
        <f t="shared" si="27"/>
        <v>162</v>
      </c>
      <c r="J180" s="345">
        <v>6.5</v>
      </c>
      <c r="K180" s="343" t="s">
        <v>277</v>
      </c>
      <c r="L180" s="346" t="s">
        <v>818</v>
      </c>
      <c r="M180" s="570"/>
    </row>
    <row r="181" spans="1:13" s="571" customFormat="1" ht="24" customHeight="1">
      <c r="A181" s="421">
        <v>16</v>
      </c>
      <c r="B181" s="342"/>
      <c r="C181" s="343" t="s">
        <v>819</v>
      </c>
      <c r="D181" s="344" t="s">
        <v>820</v>
      </c>
      <c r="E181" s="332">
        <v>1</v>
      </c>
      <c r="F181" s="332">
        <v>36</v>
      </c>
      <c r="G181" s="332">
        <v>2</v>
      </c>
      <c r="H181" s="332">
        <f t="shared" si="26"/>
        <v>72</v>
      </c>
      <c r="I181" s="332">
        <f t="shared" si="27"/>
        <v>72</v>
      </c>
      <c r="J181" s="345">
        <v>1.89</v>
      </c>
      <c r="K181" s="343" t="s">
        <v>277</v>
      </c>
      <c r="L181" s="346" t="s">
        <v>821</v>
      </c>
      <c r="M181" s="570"/>
    </row>
    <row r="182" spans="1:13" ht="18.75" customHeight="1">
      <c r="A182" s="425"/>
      <c r="B182" s="863" t="s">
        <v>1501</v>
      </c>
      <c r="C182" s="863"/>
      <c r="D182" s="425"/>
      <c r="E182" s="425"/>
      <c r="F182" s="425"/>
      <c r="G182" s="425">
        <f>SUM(G166:G181)</f>
        <v>37</v>
      </c>
      <c r="H182" s="425">
        <f t="shared" ref="H182:J182" si="28">SUM(H166:H181)</f>
        <v>1728</v>
      </c>
      <c r="I182" s="425">
        <f t="shared" si="28"/>
        <v>2484</v>
      </c>
      <c r="J182" s="426">
        <f t="shared" si="28"/>
        <v>72.77000000000001</v>
      </c>
      <c r="K182" s="427"/>
      <c r="L182" s="425"/>
    </row>
    <row r="183" spans="1:13" ht="20.25">
      <c r="A183" s="363" t="s">
        <v>25</v>
      </c>
      <c r="B183" s="363"/>
      <c r="C183" s="363"/>
      <c r="D183" s="363"/>
      <c r="E183" s="363"/>
      <c r="F183" s="363"/>
      <c r="G183" s="363"/>
      <c r="H183" s="363"/>
      <c r="I183" s="363"/>
      <c r="J183" s="363"/>
      <c r="K183" s="363"/>
      <c r="L183" s="363"/>
    </row>
    <row r="184" spans="1:13">
      <c r="A184" s="428"/>
      <c r="B184" s="429" t="s">
        <v>215</v>
      </c>
      <c r="C184" s="430"/>
      <c r="D184" s="430"/>
      <c r="E184" s="430"/>
      <c r="F184" s="430"/>
      <c r="G184" s="430"/>
      <c r="H184" s="430"/>
      <c r="I184" s="430"/>
      <c r="J184" s="430"/>
      <c r="K184" s="431"/>
      <c r="L184" s="430"/>
    </row>
    <row r="185" spans="1:13" s="571" customFormat="1" ht="24">
      <c r="A185" s="432">
        <v>1</v>
      </c>
      <c r="B185" s="433" t="s">
        <v>109</v>
      </c>
      <c r="C185" s="434" t="s">
        <v>110</v>
      </c>
      <c r="D185" s="434" t="s">
        <v>111</v>
      </c>
      <c r="E185" s="432">
        <v>1</v>
      </c>
      <c r="F185" s="432">
        <v>30</v>
      </c>
      <c r="G185" s="432">
        <v>3</v>
      </c>
      <c r="H185" s="432">
        <f>F185*G185</f>
        <v>90</v>
      </c>
      <c r="I185" s="432">
        <f>H185*E185</f>
        <v>90</v>
      </c>
      <c r="J185" s="435">
        <v>4.5</v>
      </c>
      <c r="K185" s="864" t="s">
        <v>1015</v>
      </c>
      <c r="L185" s="436" t="s">
        <v>1016</v>
      </c>
      <c r="M185" s="570"/>
    </row>
    <row r="186" spans="1:13" s="571" customFormat="1" ht="24">
      <c r="A186" s="432">
        <f>A185+1</f>
        <v>2</v>
      </c>
      <c r="B186" s="433" t="s">
        <v>1017</v>
      </c>
      <c r="C186" s="434" t="s">
        <v>91</v>
      </c>
      <c r="D186" s="434" t="s">
        <v>1018</v>
      </c>
      <c r="E186" s="432">
        <v>3</v>
      </c>
      <c r="F186" s="432">
        <v>30</v>
      </c>
      <c r="G186" s="432">
        <v>15</v>
      </c>
      <c r="H186" s="432">
        <f>F186*G186</f>
        <v>450</v>
      </c>
      <c r="I186" s="432">
        <f>H186*E186</f>
        <v>1350</v>
      </c>
      <c r="J186" s="435">
        <v>37.5</v>
      </c>
      <c r="K186" s="864"/>
      <c r="L186" s="436" t="s">
        <v>1016</v>
      </c>
      <c r="M186" s="570"/>
    </row>
    <row r="187" spans="1:13" s="571" customFormat="1" ht="24">
      <c r="A187" s="432">
        <f t="shared" ref="A187:A198" si="29">A186+1</f>
        <v>3</v>
      </c>
      <c r="B187" s="433" t="s">
        <v>1019</v>
      </c>
      <c r="C187" s="434" t="s">
        <v>112</v>
      </c>
      <c r="D187" s="434" t="s">
        <v>1020</v>
      </c>
      <c r="E187" s="432">
        <v>2</v>
      </c>
      <c r="F187" s="432">
        <v>30</v>
      </c>
      <c r="G187" s="432">
        <v>30</v>
      </c>
      <c r="H187" s="432">
        <f>F187*G187</f>
        <v>900</v>
      </c>
      <c r="I187" s="432">
        <f>H187*E187</f>
        <v>1800</v>
      </c>
      <c r="J187" s="435">
        <v>49.5</v>
      </c>
      <c r="K187" s="864"/>
      <c r="L187" s="436" t="s">
        <v>1016</v>
      </c>
      <c r="M187" s="570"/>
    </row>
    <row r="188" spans="1:13" s="571" customFormat="1" ht="24">
      <c r="A188" s="432">
        <f t="shared" si="29"/>
        <v>4</v>
      </c>
      <c r="B188" s="433" t="s">
        <v>49</v>
      </c>
      <c r="C188" s="434" t="s">
        <v>93</v>
      </c>
      <c r="D188" s="434" t="s">
        <v>113</v>
      </c>
      <c r="E188" s="432">
        <v>1</v>
      </c>
      <c r="F188" s="432">
        <v>100</v>
      </c>
      <c r="G188" s="432">
        <v>50</v>
      </c>
      <c r="H188" s="432">
        <f t="shared" ref="H188:H197" si="30">F188*G188</f>
        <v>5000</v>
      </c>
      <c r="I188" s="432">
        <f t="shared" ref="I188:I197" si="31">H188*E188</f>
        <v>5000</v>
      </c>
      <c r="J188" s="435">
        <v>9</v>
      </c>
      <c r="K188" s="864"/>
      <c r="L188" s="436" t="s">
        <v>1016</v>
      </c>
      <c r="M188" s="570"/>
    </row>
    <row r="189" spans="1:13" s="571" customFormat="1" ht="24">
      <c r="A189" s="432">
        <f t="shared" si="29"/>
        <v>5</v>
      </c>
      <c r="B189" s="433" t="s">
        <v>1021</v>
      </c>
      <c r="C189" s="434" t="s">
        <v>115</v>
      </c>
      <c r="D189" s="434" t="s">
        <v>1022</v>
      </c>
      <c r="E189" s="432">
        <v>2</v>
      </c>
      <c r="F189" s="432">
        <v>30</v>
      </c>
      <c r="G189" s="432">
        <v>10</v>
      </c>
      <c r="H189" s="432">
        <f t="shared" si="30"/>
        <v>300</v>
      </c>
      <c r="I189" s="432">
        <f t="shared" si="31"/>
        <v>600</v>
      </c>
      <c r="J189" s="435">
        <v>16.2</v>
      </c>
      <c r="K189" s="864"/>
      <c r="L189" s="436" t="s">
        <v>1016</v>
      </c>
      <c r="M189" s="570"/>
    </row>
    <row r="190" spans="1:13" s="571" customFormat="1" ht="24">
      <c r="A190" s="432">
        <f t="shared" si="29"/>
        <v>6</v>
      </c>
      <c r="B190" s="433" t="s">
        <v>1023</v>
      </c>
      <c r="C190" s="434" t="s">
        <v>116</v>
      </c>
      <c r="D190" s="434" t="s">
        <v>1024</v>
      </c>
      <c r="E190" s="432">
        <v>1</v>
      </c>
      <c r="F190" s="432">
        <v>25</v>
      </c>
      <c r="G190" s="432">
        <v>5</v>
      </c>
      <c r="H190" s="432">
        <f t="shared" si="30"/>
        <v>125</v>
      </c>
      <c r="I190" s="432">
        <f t="shared" si="31"/>
        <v>125</v>
      </c>
      <c r="J190" s="435">
        <v>7.5</v>
      </c>
      <c r="K190" s="864"/>
      <c r="L190" s="436" t="s">
        <v>1016</v>
      </c>
      <c r="M190" s="570"/>
    </row>
    <row r="191" spans="1:13" s="571" customFormat="1" ht="24">
      <c r="A191" s="432">
        <f>A190+1</f>
        <v>7</v>
      </c>
      <c r="B191" s="433" t="s">
        <v>1025</v>
      </c>
      <c r="C191" s="434" t="s">
        <v>1026</v>
      </c>
      <c r="D191" s="434" t="s">
        <v>662</v>
      </c>
      <c r="E191" s="432">
        <v>3</v>
      </c>
      <c r="F191" s="432">
        <v>30</v>
      </c>
      <c r="G191" s="432">
        <v>3</v>
      </c>
      <c r="H191" s="432">
        <f t="shared" si="30"/>
        <v>90</v>
      </c>
      <c r="I191" s="432">
        <f t="shared" si="31"/>
        <v>270</v>
      </c>
      <c r="J191" s="435">
        <v>6</v>
      </c>
      <c r="K191" s="864"/>
      <c r="L191" s="436" t="s">
        <v>1016</v>
      </c>
      <c r="M191" s="570"/>
    </row>
    <row r="192" spans="1:13" s="571" customFormat="1" ht="24">
      <c r="A192" s="432">
        <f t="shared" si="29"/>
        <v>8</v>
      </c>
      <c r="B192" s="433" t="s">
        <v>117</v>
      </c>
      <c r="C192" s="434" t="s">
        <v>118</v>
      </c>
      <c r="D192" s="434" t="s">
        <v>119</v>
      </c>
      <c r="E192" s="432">
        <v>2</v>
      </c>
      <c r="F192" s="432">
        <v>30</v>
      </c>
      <c r="G192" s="432">
        <v>4</v>
      </c>
      <c r="H192" s="432">
        <f t="shared" si="30"/>
        <v>120</v>
      </c>
      <c r="I192" s="432">
        <f t="shared" si="31"/>
        <v>240</v>
      </c>
      <c r="J192" s="435">
        <v>7</v>
      </c>
      <c r="K192" s="864"/>
      <c r="L192" s="436" t="s">
        <v>1016</v>
      </c>
      <c r="M192" s="570"/>
    </row>
    <row r="193" spans="1:13" s="571" customFormat="1" ht="36">
      <c r="A193" s="432">
        <f t="shared" si="29"/>
        <v>9</v>
      </c>
      <c r="B193" s="433" t="s">
        <v>45</v>
      </c>
      <c r="C193" s="434" t="s">
        <v>120</v>
      </c>
      <c r="D193" s="434" t="s">
        <v>121</v>
      </c>
      <c r="E193" s="432">
        <v>1</v>
      </c>
      <c r="F193" s="432">
        <v>30</v>
      </c>
      <c r="G193" s="432">
        <v>10</v>
      </c>
      <c r="H193" s="432">
        <f t="shared" si="30"/>
        <v>300</v>
      </c>
      <c r="I193" s="432">
        <f t="shared" si="31"/>
        <v>300</v>
      </c>
      <c r="J193" s="435">
        <v>10</v>
      </c>
      <c r="K193" s="864"/>
      <c r="L193" s="436" t="s">
        <v>1016</v>
      </c>
      <c r="M193" s="570"/>
    </row>
    <row r="194" spans="1:13" s="571" customFormat="1" ht="24">
      <c r="A194" s="432">
        <f t="shared" si="29"/>
        <v>10</v>
      </c>
      <c r="B194" s="433" t="s">
        <v>122</v>
      </c>
      <c r="C194" s="434" t="s">
        <v>123</v>
      </c>
      <c r="D194" s="434" t="s">
        <v>42</v>
      </c>
      <c r="E194" s="432">
        <v>1</v>
      </c>
      <c r="F194" s="432">
        <v>40</v>
      </c>
      <c r="G194" s="432">
        <v>10</v>
      </c>
      <c r="H194" s="432">
        <f t="shared" si="30"/>
        <v>400</v>
      </c>
      <c r="I194" s="432">
        <f t="shared" si="31"/>
        <v>400</v>
      </c>
      <c r="J194" s="435">
        <v>15</v>
      </c>
      <c r="K194" s="864"/>
      <c r="L194" s="436" t="s">
        <v>1016</v>
      </c>
      <c r="M194" s="570"/>
    </row>
    <row r="195" spans="1:13" s="571" customFormat="1" ht="24">
      <c r="A195" s="432">
        <f>A194+1</f>
        <v>11</v>
      </c>
      <c r="B195" s="433" t="s">
        <v>1027</v>
      </c>
      <c r="C195" s="434" t="s">
        <v>1028</v>
      </c>
      <c r="D195" s="434" t="s">
        <v>1029</v>
      </c>
      <c r="E195" s="432">
        <v>1</v>
      </c>
      <c r="F195" s="432">
        <v>28</v>
      </c>
      <c r="G195" s="432">
        <v>6</v>
      </c>
      <c r="H195" s="432">
        <f t="shared" si="30"/>
        <v>168</v>
      </c>
      <c r="I195" s="432">
        <f t="shared" si="31"/>
        <v>168</v>
      </c>
      <c r="J195" s="435">
        <v>7.8</v>
      </c>
      <c r="K195" s="864"/>
      <c r="L195" s="436" t="s">
        <v>1016</v>
      </c>
      <c r="M195" s="570"/>
    </row>
    <row r="196" spans="1:13" s="571" customFormat="1" ht="24">
      <c r="A196" s="432">
        <f t="shared" si="29"/>
        <v>12</v>
      </c>
      <c r="B196" s="433" t="s">
        <v>48</v>
      </c>
      <c r="C196" s="434" t="s">
        <v>124</v>
      </c>
      <c r="D196" s="434" t="s">
        <v>297</v>
      </c>
      <c r="E196" s="432">
        <v>2</v>
      </c>
      <c r="F196" s="432">
        <v>36</v>
      </c>
      <c r="G196" s="432">
        <v>10</v>
      </c>
      <c r="H196" s="432">
        <f t="shared" si="30"/>
        <v>360</v>
      </c>
      <c r="I196" s="432">
        <f t="shared" si="31"/>
        <v>720</v>
      </c>
      <c r="J196" s="435">
        <v>14.35</v>
      </c>
      <c r="K196" s="864"/>
      <c r="L196" s="436" t="s">
        <v>1016</v>
      </c>
      <c r="M196" s="570"/>
    </row>
    <row r="197" spans="1:13" s="571" customFormat="1" ht="24">
      <c r="A197" s="432">
        <f t="shared" si="29"/>
        <v>13</v>
      </c>
      <c r="B197" s="433" t="s">
        <v>125</v>
      </c>
      <c r="C197" s="434" t="s">
        <v>126</v>
      </c>
      <c r="D197" s="434" t="s">
        <v>127</v>
      </c>
      <c r="E197" s="432">
        <v>2</v>
      </c>
      <c r="F197" s="432">
        <v>30</v>
      </c>
      <c r="G197" s="432">
        <v>15</v>
      </c>
      <c r="H197" s="432">
        <f t="shared" si="30"/>
        <v>450</v>
      </c>
      <c r="I197" s="432">
        <f t="shared" si="31"/>
        <v>900</v>
      </c>
      <c r="J197" s="435">
        <v>27.75</v>
      </c>
      <c r="K197" s="864"/>
      <c r="L197" s="436" t="s">
        <v>1016</v>
      </c>
      <c r="M197" s="570"/>
    </row>
    <row r="198" spans="1:13" s="571" customFormat="1" ht="24">
      <c r="A198" s="432">
        <f t="shared" si="29"/>
        <v>14</v>
      </c>
      <c r="B198" s="433" t="s">
        <v>128</v>
      </c>
      <c r="C198" s="434" t="s">
        <v>370</v>
      </c>
      <c r="D198" s="434"/>
      <c r="E198" s="437"/>
      <c r="F198" s="437"/>
      <c r="G198" s="437"/>
      <c r="H198" s="437"/>
      <c r="I198" s="437"/>
      <c r="J198" s="435">
        <v>66</v>
      </c>
      <c r="K198" s="864"/>
      <c r="L198" s="436" t="s">
        <v>1030</v>
      </c>
      <c r="M198" s="570"/>
    </row>
    <row r="199" spans="1:13" s="573" customFormat="1">
      <c r="A199" s="438"/>
      <c r="B199" s="439" t="s">
        <v>572</v>
      </c>
      <c r="C199" s="439"/>
      <c r="D199" s="439"/>
      <c r="E199" s="439"/>
      <c r="F199" s="439"/>
      <c r="G199" s="440">
        <f>SUM(G185:G198)</f>
        <v>171</v>
      </c>
      <c r="H199" s="440">
        <f t="shared" ref="H199:J199" si="32">SUM(H185:H198)</f>
        <v>8753</v>
      </c>
      <c r="I199" s="440">
        <f t="shared" si="32"/>
        <v>11963</v>
      </c>
      <c r="J199" s="441">
        <f t="shared" si="32"/>
        <v>278.10000000000002</v>
      </c>
      <c r="K199" s="439"/>
      <c r="L199" s="439"/>
      <c r="M199" s="572"/>
    </row>
    <row r="200" spans="1:13">
      <c r="A200" s="428"/>
      <c r="B200" s="429" t="s">
        <v>51</v>
      </c>
      <c r="C200" s="430"/>
      <c r="D200" s="430"/>
      <c r="E200" s="430"/>
      <c r="F200" s="430"/>
      <c r="G200" s="430"/>
      <c r="H200" s="430"/>
      <c r="I200" s="430"/>
      <c r="J200" s="430"/>
      <c r="K200" s="431"/>
      <c r="L200" s="430"/>
    </row>
    <row r="201" spans="1:13" s="571" customFormat="1" ht="36">
      <c r="A201" s="432">
        <f>A198+1</f>
        <v>15</v>
      </c>
      <c r="B201" s="348" t="s">
        <v>52</v>
      </c>
      <c r="C201" s="349" t="s">
        <v>17</v>
      </c>
      <c r="D201" s="349" t="s">
        <v>1031</v>
      </c>
      <c r="E201" s="350">
        <v>3</v>
      </c>
      <c r="F201" s="350">
        <v>25</v>
      </c>
      <c r="G201" s="350">
        <v>4</v>
      </c>
      <c r="H201" s="350">
        <f>G201*F201</f>
        <v>100</v>
      </c>
      <c r="I201" s="350">
        <f>H201*E201</f>
        <v>300</v>
      </c>
      <c r="J201" s="351">
        <v>8.52</v>
      </c>
      <c r="K201" s="352" t="s">
        <v>1032</v>
      </c>
      <c r="L201" s="352" t="s">
        <v>1016</v>
      </c>
      <c r="M201" s="570"/>
    </row>
    <row r="202" spans="1:13" s="571" customFormat="1" ht="24">
      <c r="A202" s="432">
        <f>A201+1</f>
        <v>16</v>
      </c>
      <c r="B202" s="348" t="s">
        <v>53</v>
      </c>
      <c r="C202" s="349" t="s">
        <v>335</v>
      </c>
      <c r="D202" s="349" t="s">
        <v>298</v>
      </c>
      <c r="E202" s="350">
        <v>2</v>
      </c>
      <c r="F202" s="350">
        <v>20</v>
      </c>
      <c r="G202" s="350">
        <v>2</v>
      </c>
      <c r="H202" s="350">
        <f>G202*F202</f>
        <v>40</v>
      </c>
      <c r="I202" s="350">
        <f>H202*E202</f>
        <v>80</v>
      </c>
      <c r="J202" s="351">
        <v>2.98</v>
      </c>
      <c r="K202" s="352" t="s">
        <v>1032</v>
      </c>
      <c r="L202" s="352" t="s">
        <v>1016</v>
      </c>
      <c r="M202" s="570"/>
    </row>
    <row r="203" spans="1:13" s="571" customFormat="1" ht="24">
      <c r="A203" s="432">
        <f t="shared" ref="A203:A210" si="33">A202+1</f>
        <v>17</v>
      </c>
      <c r="B203" s="348" t="s">
        <v>54</v>
      </c>
      <c r="C203" s="349" t="s">
        <v>1033</v>
      </c>
      <c r="D203" s="349" t="s">
        <v>1034</v>
      </c>
      <c r="E203" s="350">
        <v>4</v>
      </c>
      <c r="F203" s="350">
        <v>25</v>
      </c>
      <c r="G203" s="350">
        <v>4</v>
      </c>
      <c r="H203" s="350">
        <f t="shared" ref="H203:H210" si="34">G203*F203</f>
        <v>100</v>
      </c>
      <c r="I203" s="350">
        <f t="shared" ref="I203:I210" si="35">H203*E203</f>
        <v>400</v>
      </c>
      <c r="J203" s="351">
        <v>9.1999999999999993</v>
      </c>
      <c r="K203" s="352" t="s">
        <v>1032</v>
      </c>
      <c r="L203" s="352" t="s">
        <v>1016</v>
      </c>
      <c r="M203" s="570"/>
    </row>
    <row r="204" spans="1:13" s="571" customFormat="1" ht="24">
      <c r="A204" s="432">
        <f t="shared" si="33"/>
        <v>18</v>
      </c>
      <c r="B204" s="348" t="s">
        <v>55</v>
      </c>
      <c r="C204" s="349" t="s">
        <v>1035</v>
      </c>
      <c r="D204" s="349" t="s">
        <v>1036</v>
      </c>
      <c r="E204" s="350">
        <v>1</v>
      </c>
      <c r="F204" s="350">
        <v>30</v>
      </c>
      <c r="G204" s="350">
        <v>5</v>
      </c>
      <c r="H204" s="350">
        <f t="shared" si="34"/>
        <v>150</v>
      </c>
      <c r="I204" s="350">
        <f t="shared" si="35"/>
        <v>150</v>
      </c>
      <c r="J204" s="351">
        <v>5.5</v>
      </c>
      <c r="K204" s="352" t="s">
        <v>411</v>
      </c>
      <c r="L204" s="352" t="s">
        <v>1016</v>
      </c>
      <c r="M204" s="570"/>
    </row>
    <row r="205" spans="1:13" s="571" customFormat="1" ht="24">
      <c r="A205" s="432">
        <f t="shared" si="33"/>
        <v>19</v>
      </c>
      <c r="B205" s="348" t="s">
        <v>130</v>
      </c>
      <c r="C205" s="349" t="s">
        <v>131</v>
      </c>
      <c r="D205" s="349" t="s">
        <v>1037</v>
      </c>
      <c r="E205" s="350">
        <v>3</v>
      </c>
      <c r="F205" s="350">
        <v>25</v>
      </c>
      <c r="G205" s="350">
        <v>5</v>
      </c>
      <c r="H205" s="350">
        <f t="shared" si="34"/>
        <v>125</v>
      </c>
      <c r="I205" s="350">
        <f t="shared" si="35"/>
        <v>375</v>
      </c>
      <c r="J205" s="351">
        <v>9.6</v>
      </c>
      <c r="K205" s="352" t="s">
        <v>1032</v>
      </c>
      <c r="L205" s="352" t="s">
        <v>1016</v>
      </c>
      <c r="M205" s="570"/>
    </row>
    <row r="206" spans="1:13" s="571" customFormat="1" ht="24">
      <c r="A206" s="432">
        <f t="shared" si="33"/>
        <v>20</v>
      </c>
      <c r="B206" s="348" t="s">
        <v>56</v>
      </c>
      <c r="C206" s="349" t="s">
        <v>1038</v>
      </c>
      <c r="D206" s="349" t="s">
        <v>57</v>
      </c>
      <c r="E206" s="350">
        <v>1</v>
      </c>
      <c r="F206" s="350">
        <v>50</v>
      </c>
      <c r="G206" s="350">
        <v>325</v>
      </c>
      <c r="H206" s="350">
        <f t="shared" si="34"/>
        <v>16250</v>
      </c>
      <c r="I206" s="350">
        <f t="shared" si="35"/>
        <v>16250</v>
      </c>
      <c r="J206" s="351">
        <v>63.05</v>
      </c>
      <c r="K206" s="352" t="s">
        <v>410</v>
      </c>
      <c r="L206" s="352" t="s">
        <v>1016</v>
      </c>
      <c r="M206" s="570"/>
    </row>
    <row r="207" spans="1:13" s="571" customFormat="1" ht="33.75">
      <c r="A207" s="432">
        <f t="shared" si="33"/>
        <v>21</v>
      </c>
      <c r="B207" s="442" t="s">
        <v>1039</v>
      </c>
      <c r="C207" s="349" t="s">
        <v>1040</v>
      </c>
      <c r="D207" s="349" t="s">
        <v>132</v>
      </c>
      <c r="E207" s="350">
        <v>1</v>
      </c>
      <c r="F207" s="350">
        <v>28</v>
      </c>
      <c r="G207" s="350">
        <v>15</v>
      </c>
      <c r="H207" s="350">
        <f t="shared" si="34"/>
        <v>420</v>
      </c>
      <c r="I207" s="350">
        <f t="shared" si="35"/>
        <v>420</v>
      </c>
      <c r="J207" s="435">
        <v>16.5</v>
      </c>
      <c r="K207" s="352" t="s">
        <v>1041</v>
      </c>
      <c r="L207" s="352" t="s">
        <v>1016</v>
      </c>
      <c r="M207" s="570"/>
    </row>
    <row r="208" spans="1:13" s="571" customFormat="1" ht="24">
      <c r="A208" s="432">
        <f>A207+1</f>
        <v>22</v>
      </c>
      <c r="B208" s="348" t="s">
        <v>1188</v>
      </c>
      <c r="C208" s="349" t="s">
        <v>1042</v>
      </c>
      <c r="D208" s="349" t="s">
        <v>42</v>
      </c>
      <c r="E208" s="350">
        <v>5</v>
      </c>
      <c r="F208" s="350">
        <v>20</v>
      </c>
      <c r="G208" s="350">
        <v>4</v>
      </c>
      <c r="H208" s="350">
        <f t="shared" si="34"/>
        <v>80</v>
      </c>
      <c r="I208" s="350">
        <f t="shared" si="35"/>
        <v>400</v>
      </c>
      <c r="J208" s="351">
        <v>10</v>
      </c>
      <c r="K208" s="352" t="s">
        <v>1032</v>
      </c>
      <c r="L208" s="352" t="s">
        <v>1016</v>
      </c>
      <c r="M208" s="570"/>
    </row>
    <row r="209" spans="1:15" s="571" customFormat="1" ht="24">
      <c r="A209" s="432">
        <f t="shared" si="33"/>
        <v>23</v>
      </c>
      <c r="B209" s="348" t="s">
        <v>1043</v>
      </c>
      <c r="C209" s="349" t="s">
        <v>1044</v>
      </c>
      <c r="D209" s="349" t="s">
        <v>1045</v>
      </c>
      <c r="E209" s="350">
        <v>5</v>
      </c>
      <c r="F209" s="350">
        <v>25</v>
      </c>
      <c r="G209" s="350">
        <v>3</v>
      </c>
      <c r="H209" s="350">
        <f t="shared" si="34"/>
        <v>75</v>
      </c>
      <c r="I209" s="350">
        <f t="shared" si="35"/>
        <v>375</v>
      </c>
      <c r="J209" s="351">
        <v>7.5</v>
      </c>
      <c r="K209" s="352" t="s">
        <v>1189</v>
      </c>
      <c r="L209" s="352" t="s">
        <v>1016</v>
      </c>
      <c r="M209" s="570"/>
    </row>
    <row r="210" spans="1:15" s="571" customFormat="1" ht="24">
      <c r="A210" s="432">
        <f t="shared" si="33"/>
        <v>24</v>
      </c>
      <c r="B210" s="348" t="s">
        <v>355</v>
      </c>
      <c r="C210" s="349" t="s">
        <v>1046</v>
      </c>
      <c r="D210" s="349" t="s">
        <v>42</v>
      </c>
      <c r="E210" s="350">
        <v>11</v>
      </c>
      <c r="F210" s="350">
        <v>20</v>
      </c>
      <c r="G210" s="350">
        <v>1</v>
      </c>
      <c r="H210" s="350">
        <f t="shared" si="34"/>
        <v>20</v>
      </c>
      <c r="I210" s="350">
        <f t="shared" si="35"/>
        <v>220</v>
      </c>
      <c r="J210" s="351">
        <v>8.8000000000000007</v>
      </c>
      <c r="K210" s="352" t="s">
        <v>1032</v>
      </c>
      <c r="L210" s="352" t="s">
        <v>1016</v>
      </c>
      <c r="M210" s="570"/>
    </row>
    <row r="211" spans="1:15" ht="15.75" customHeight="1">
      <c r="A211" s="438"/>
      <c r="B211" s="439" t="s">
        <v>1047</v>
      </c>
      <c r="C211" s="439"/>
      <c r="D211" s="439"/>
      <c r="E211" s="439"/>
      <c r="F211" s="439"/>
      <c r="G211" s="440">
        <f>SUM(G201:G210)</f>
        <v>368</v>
      </c>
      <c r="H211" s="440">
        <f>SUM(H201:H210)</f>
        <v>17360</v>
      </c>
      <c r="I211" s="440">
        <f>SUM(I201:I210)</f>
        <v>18970</v>
      </c>
      <c r="J211" s="439">
        <f>SUM(J201:J210)</f>
        <v>141.65</v>
      </c>
      <c r="K211" s="439"/>
      <c r="L211" s="439"/>
    </row>
    <row r="212" spans="1:15">
      <c r="A212" s="342"/>
      <c r="B212" s="443" t="s">
        <v>59</v>
      </c>
      <c r="C212" s="444"/>
      <c r="D212" s="444"/>
      <c r="E212" s="444"/>
      <c r="F212" s="444"/>
      <c r="G212" s="444"/>
      <c r="H212" s="444"/>
      <c r="I212" s="444"/>
      <c r="J212" s="444"/>
      <c r="K212" s="444"/>
      <c r="L212" s="444"/>
    </row>
    <row r="213" spans="1:15" ht="24">
      <c r="A213" s="350">
        <f>A210+1</f>
        <v>25</v>
      </c>
      <c r="B213" s="348" t="s">
        <v>60</v>
      </c>
      <c r="C213" s="349" t="s">
        <v>1048</v>
      </c>
      <c r="D213" s="349" t="s">
        <v>1049</v>
      </c>
      <c r="E213" s="350">
        <v>2</v>
      </c>
      <c r="F213" s="350">
        <v>25</v>
      </c>
      <c r="G213" s="350">
        <v>2</v>
      </c>
      <c r="H213" s="350">
        <f>G213*F213</f>
        <v>50</v>
      </c>
      <c r="I213" s="350">
        <f>H213*E213</f>
        <v>100</v>
      </c>
      <c r="J213" s="351">
        <v>4</v>
      </c>
      <c r="K213" s="352" t="s">
        <v>1052</v>
      </c>
      <c r="L213" s="352" t="s">
        <v>1016</v>
      </c>
    </row>
    <row r="214" spans="1:15" ht="24">
      <c r="A214" s="350">
        <f>A213+1</f>
        <v>26</v>
      </c>
      <c r="B214" s="348" t="s">
        <v>61</v>
      </c>
      <c r="C214" s="349" t="s">
        <v>1050</v>
      </c>
      <c r="D214" s="349" t="s">
        <v>1051</v>
      </c>
      <c r="E214" s="350">
        <v>2</v>
      </c>
      <c r="F214" s="350">
        <v>30</v>
      </c>
      <c r="G214" s="350">
        <v>5</v>
      </c>
      <c r="H214" s="350">
        <f>G214*F214</f>
        <v>150</v>
      </c>
      <c r="I214" s="350">
        <f>H214*E214</f>
        <v>300</v>
      </c>
      <c r="J214" s="351">
        <v>6</v>
      </c>
      <c r="K214" s="352" t="s">
        <v>1052</v>
      </c>
      <c r="L214" s="352" t="s">
        <v>1016</v>
      </c>
    </row>
    <row r="215" spans="1:15" ht="36">
      <c r="A215" s="350">
        <f t="shared" ref="A215:A216" si="36">A214+1</f>
        <v>27</v>
      </c>
      <c r="B215" s="348" t="s">
        <v>63</v>
      </c>
      <c r="C215" s="349" t="s">
        <v>1053</v>
      </c>
      <c r="D215" s="349" t="s">
        <v>1054</v>
      </c>
      <c r="E215" s="350">
        <v>2</v>
      </c>
      <c r="F215" s="350">
        <v>27</v>
      </c>
      <c r="G215" s="350">
        <v>10</v>
      </c>
      <c r="H215" s="432">
        <f>G215*F215</f>
        <v>270</v>
      </c>
      <c r="I215" s="350">
        <f>H215*E215</f>
        <v>540</v>
      </c>
      <c r="J215" s="435">
        <v>12</v>
      </c>
      <c r="K215" s="352" t="s">
        <v>1052</v>
      </c>
      <c r="L215" s="352" t="s">
        <v>1016</v>
      </c>
    </row>
    <row r="216" spans="1:15" s="558" customFormat="1" ht="24">
      <c r="A216" s="350">
        <f t="shared" si="36"/>
        <v>28</v>
      </c>
      <c r="B216" s="348" t="s">
        <v>64</v>
      </c>
      <c r="C216" s="349" t="s">
        <v>133</v>
      </c>
      <c r="D216" s="349" t="s">
        <v>1055</v>
      </c>
      <c r="E216" s="350">
        <v>2</v>
      </c>
      <c r="F216" s="350">
        <v>28</v>
      </c>
      <c r="G216" s="350">
        <v>18</v>
      </c>
      <c r="H216" s="432">
        <f>G216*F216</f>
        <v>504</v>
      </c>
      <c r="I216" s="350">
        <f>H216*E216</f>
        <v>1008</v>
      </c>
      <c r="J216" s="351">
        <v>21.6</v>
      </c>
      <c r="K216" s="352" t="s">
        <v>1052</v>
      </c>
      <c r="L216" s="352" t="s">
        <v>1016</v>
      </c>
      <c r="N216" s="347"/>
      <c r="O216" s="347"/>
    </row>
    <row r="217" spans="1:15" s="558" customFormat="1" ht="12.75" customHeight="1">
      <c r="A217" s="438"/>
      <c r="B217" s="439" t="s">
        <v>1111</v>
      </c>
      <c r="C217" s="439"/>
      <c r="D217" s="439"/>
      <c r="E217" s="439"/>
      <c r="F217" s="439"/>
      <c r="G217" s="440">
        <f>SUM(G213:G216)</f>
        <v>35</v>
      </c>
      <c r="H217" s="440">
        <f t="shared" ref="H217:J217" si="37">SUM(H213:H216)</f>
        <v>974</v>
      </c>
      <c r="I217" s="440">
        <f t="shared" si="37"/>
        <v>1948</v>
      </c>
      <c r="J217" s="439">
        <f t="shared" si="37"/>
        <v>43.6</v>
      </c>
      <c r="K217" s="439"/>
      <c r="L217" s="439"/>
      <c r="N217" s="347"/>
      <c r="O217" s="347"/>
    </row>
    <row r="218" spans="1:15" s="558" customFormat="1">
      <c r="A218" s="428"/>
      <c r="B218" s="429" t="s">
        <v>65</v>
      </c>
      <c r="C218" s="445"/>
      <c r="D218" s="445"/>
      <c r="E218" s="445"/>
      <c r="F218" s="445"/>
      <c r="G218" s="445"/>
      <c r="H218" s="445"/>
      <c r="I218" s="445"/>
      <c r="J218" s="445"/>
      <c r="K218" s="445"/>
      <c r="L218" s="445"/>
      <c r="N218" s="347"/>
      <c r="O218" s="347"/>
    </row>
    <row r="219" spans="1:15" s="558" customFormat="1" ht="24">
      <c r="A219" s="350">
        <f>A216+1</f>
        <v>29</v>
      </c>
      <c r="B219" s="348" t="s">
        <v>66</v>
      </c>
      <c r="C219" s="349" t="s">
        <v>1056</v>
      </c>
      <c r="D219" s="349" t="s">
        <v>216</v>
      </c>
      <c r="E219" s="350">
        <v>1</v>
      </c>
      <c r="F219" s="446">
        <v>30</v>
      </c>
      <c r="G219" s="350">
        <v>1</v>
      </c>
      <c r="H219" s="350">
        <v>30</v>
      </c>
      <c r="I219" s="350">
        <v>30</v>
      </c>
      <c r="J219" s="351">
        <v>1.2</v>
      </c>
      <c r="K219" s="352" t="s">
        <v>136</v>
      </c>
      <c r="L219" s="352" t="s">
        <v>1057</v>
      </c>
      <c r="N219" s="347"/>
      <c r="O219" s="347"/>
    </row>
    <row r="220" spans="1:15" s="558" customFormat="1" ht="36">
      <c r="A220" s="350">
        <f>A219+1</f>
        <v>30</v>
      </c>
      <c r="B220" s="348" t="s">
        <v>1058</v>
      </c>
      <c r="C220" s="349" t="s">
        <v>1059</v>
      </c>
      <c r="D220" s="349" t="s">
        <v>1060</v>
      </c>
      <c r="E220" s="350">
        <v>3</v>
      </c>
      <c r="F220" s="350">
        <v>25</v>
      </c>
      <c r="G220" s="350">
        <v>20</v>
      </c>
      <c r="H220" s="350">
        <v>500</v>
      </c>
      <c r="I220" s="350">
        <v>1500</v>
      </c>
      <c r="J220" s="351">
        <v>30</v>
      </c>
      <c r="K220" s="352" t="s">
        <v>1061</v>
      </c>
      <c r="L220" s="352" t="s">
        <v>1016</v>
      </c>
      <c r="N220" s="347"/>
      <c r="O220" s="347"/>
    </row>
    <row r="221" spans="1:15" s="558" customFormat="1" ht="24">
      <c r="A221" s="350">
        <f t="shared" ref="A221:A227" si="38">A220+1</f>
        <v>31</v>
      </c>
      <c r="B221" s="348" t="s">
        <v>67</v>
      </c>
      <c r="C221" s="349" t="s">
        <v>68</v>
      </c>
      <c r="D221" s="349" t="s">
        <v>1060</v>
      </c>
      <c r="E221" s="350">
        <v>20</v>
      </c>
      <c r="F221" s="350">
        <v>25</v>
      </c>
      <c r="G221" s="350">
        <v>15</v>
      </c>
      <c r="H221" s="350">
        <f>G221*F221</f>
        <v>375</v>
      </c>
      <c r="I221" s="350">
        <f t="shared" ref="I221:I227" si="39">H221*E221</f>
        <v>7500</v>
      </c>
      <c r="J221" s="351">
        <v>9.7899999999999991</v>
      </c>
      <c r="K221" s="352" t="s">
        <v>236</v>
      </c>
      <c r="L221" s="352" t="s">
        <v>1057</v>
      </c>
      <c r="N221" s="347"/>
      <c r="O221" s="347"/>
    </row>
    <row r="222" spans="1:15" s="558" customFormat="1" ht="24">
      <c r="A222" s="350">
        <f t="shared" si="38"/>
        <v>32</v>
      </c>
      <c r="B222" s="348" t="s">
        <v>1062</v>
      </c>
      <c r="C222" s="349" t="s">
        <v>1063</v>
      </c>
      <c r="D222" s="349" t="s">
        <v>1060</v>
      </c>
      <c r="E222" s="350">
        <v>2</v>
      </c>
      <c r="F222" s="350">
        <v>25</v>
      </c>
      <c r="G222" s="350">
        <v>15</v>
      </c>
      <c r="H222" s="350">
        <f t="shared" ref="H222:H227" si="40">G222*F222</f>
        <v>375</v>
      </c>
      <c r="I222" s="350">
        <f t="shared" si="39"/>
        <v>750</v>
      </c>
      <c r="J222" s="351">
        <v>9</v>
      </c>
      <c r="K222" s="352" t="s">
        <v>236</v>
      </c>
      <c r="L222" s="352" t="s">
        <v>1057</v>
      </c>
      <c r="N222" s="347"/>
      <c r="O222" s="347"/>
    </row>
    <row r="223" spans="1:15" s="558" customFormat="1" ht="24">
      <c r="A223" s="350">
        <f t="shared" si="38"/>
        <v>33</v>
      </c>
      <c r="B223" s="348" t="s">
        <v>69</v>
      </c>
      <c r="C223" s="349" t="s">
        <v>1064</v>
      </c>
      <c r="D223" s="349" t="s">
        <v>1060</v>
      </c>
      <c r="E223" s="350">
        <v>3</v>
      </c>
      <c r="F223" s="350">
        <v>24</v>
      </c>
      <c r="G223" s="350">
        <v>20</v>
      </c>
      <c r="H223" s="350">
        <f t="shared" si="40"/>
        <v>480</v>
      </c>
      <c r="I223" s="350">
        <f t="shared" si="39"/>
        <v>1440</v>
      </c>
      <c r="J223" s="351">
        <v>36</v>
      </c>
      <c r="K223" s="352" t="s">
        <v>1065</v>
      </c>
      <c r="L223" s="352" t="s">
        <v>1057</v>
      </c>
      <c r="N223" s="347"/>
      <c r="O223" s="347"/>
    </row>
    <row r="224" spans="1:15" s="558" customFormat="1" ht="24">
      <c r="A224" s="350">
        <f t="shared" si="38"/>
        <v>34</v>
      </c>
      <c r="B224" s="348" t="s">
        <v>70</v>
      </c>
      <c r="C224" s="349" t="s">
        <v>1066</v>
      </c>
      <c r="D224" s="349" t="s">
        <v>1060</v>
      </c>
      <c r="E224" s="350">
        <v>2</v>
      </c>
      <c r="F224" s="350">
        <v>25</v>
      </c>
      <c r="G224" s="350">
        <v>15</v>
      </c>
      <c r="H224" s="350">
        <f t="shared" si="40"/>
        <v>375</v>
      </c>
      <c r="I224" s="350">
        <f t="shared" si="39"/>
        <v>750</v>
      </c>
      <c r="J224" s="351">
        <v>5.65</v>
      </c>
      <c r="K224" s="352" t="s">
        <v>236</v>
      </c>
      <c r="L224" s="352" t="s">
        <v>1057</v>
      </c>
      <c r="N224" s="347"/>
      <c r="O224" s="347"/>
    </row>
    <row r="225" spans="1:15" s="558" customFormat="1" ht="24">
      <c r="A225" s="350">
        <f t="shared" si="38"/>
        <v>35</v>
      </c>
      <c r="B225" s="348" t="s">
        <v>71</v>
      </c>
      <c r="C225" s="349" t="s">
        <v>1067</v>
      </c>
      <c r="D225" s="349" t="s">
        <v>1060</v>
      </c>
      <c r="E225" s="350">
        <v>1</v>
      </c>
      <c r="F225" s="350">
        <v>25</v>
      </c>
      <c r="G225" s="350">
        <v>15</v>
      </c>
      <c r="H225" s="350">
        <f t="shared" si="40"/>
        <v>375</v>
      </c>
      <c r="I225" s="350">
        <f t="shared" si="39"/>
        <v>375</v>
      </c>
      <c r="J225" s="351">
        <v>1.78</v>
      </c>
      <c r="K225" s="352" t="s">
        <v>236</v>
      </c>
      <c r="L225" s="352" t="s">
        <v>1057</v>
      </c>
      <c r="N225" s="347"/>
      <c r="O225" s="347"/>
    </row>
    <row r="226" spans="1:15" s="558" customFormat="1" ht="24">
      <c r="A226" s="350">
        <f>A225+1</f>
        <v>36</v>
      </c>
      <c r="B226" s="348" t="s">
        <v>473</v>
      </c>
      <c r="C226" s="349" t="s">
        <v>1068</v>
      </c>
      <c r="D226" s="349" t="s">
        <v>1069</v>
      </c>
      <c r="E226" s="350">
        <v>1</v>
      </c>
      <c r="F226" s="350">
        <v>25</v>
      </c>
      <c r="G226" s="350">
        <v>15</v>
      </c>
      <c r="H226" s="350">
        <f t="shared" si="40"/>
        <v>375</v>
      </c>
      <c r="I226" s="350">
        <f t="shared" si="39"/>
        <v>375</v>
      </c>
      <c r="J226" s="351">
        <v>3.08</v>
      </c>
      <c r="K226" s="352" t="s">
        <v>236</v>
      </c>
      <c r="L226" s="352" t="s">
        <v>1057</v>
      </c>
      <c r="N226" s="347"/>
      <c r="O226" s="347"/>
    </row>
    <row r="227" spans="1:15" s="558" customFormat="1" ht="24">
      <c r="A227" s="350">
        <f t="shared" si="38"/>
        <v>37</v>
      </c>
      <c r="B227" s="348" t="s">
        <v>137</v>
      </c>
      <c r="C227" s="349" t="s">
        <v>1070</v>
      </c>
      <c r="D227" s="349" t="s">
        <v>1060</v>
      </c>
      <c r="E227" s="350">
        <v>1</v>
      </c>
      <c r="F227" s="350">
        <v>25</v>
      </c>
      <c r="G227" s="350">
        <v>15</v>
      </c>
      <c r="H227" s="350">
        <f t="shared" si="40"/>
        <v>375</v>
      </c>
      <c r="I227" s="350">
        <f t="shared" si="39"/>
        <v>375</v>
      </c>
      <c r="J227" s="351">
        <v>2.1</v>
      </c>
      <c r="K227" s="352" t="s">
        <v>236</v>
      </c>
      <c r="L227" s="352" t="s">
        <v>1057</v>
      </c>
      <c r="N227" s="347"/>
      <c r="O227" s="347"/>
    </row>
    <row r="228" spans="1:15" s="558" customFormat="1" ht="24" customHeight="1">
      <c r="A228" s="438"/>
      <c r="B228" s="439" t="s">
        <v>1110</v>
      </c>
      <c r="C228" s="439"/>
      <c r="D228" s="439"/>
      <c r="E228" s="439"/>
      <c r="F228" s="439"/>
      <c r="G228" s="440">
        <f>SUM(G219:G227)</f>
        <v>131</v>
      </c>
      <c r="H228" s="440">
        <f t="shared" ref="H228:J228" si="41">SUM(H219:H227)</f>
        <v>3260</v>
      </c>
      <c r="I228" s="440">
        <f t="shared" si="41"/>
        <v>13095</v>
      </c>
      <c r="J228" s="439">
        <f t="shared" si="41"/>
        <v>98.6</v>
      </c>
      <c r="K228" s="439"/>
      <c r="L228" s="439"/>
      <c r="N228" s="347"/>
      <c r="O228" s="347"/>
    </row>
    <row r="229" spans="1:15" s="558" customFormat="1">
      <c r="A229" s="447"/>
      <c r="B229" s="445" t="s">
        <v>72</v>
      </c>
      <c r="C229" s="430"/>
      <c r="D229" s="344"/>
      <c r="E229" s="430"/>
      <c r="F229" s="430"/>
      <c r="G229" s="430"/>
      <c r="H229" s="430"/>
      <c r="I229" s="430"/>
      <c r="J229" s="430"/>
      <c r="K229" s="431"/>
      <c r="L229" s="430"/>
      <c r="N229" s="347"/>
      <c r="O229" s="347"/>
    </row>
    <row r="230" spans="1:15" s="558" customFormat="1" ht="67.5">
      <c r="A230" s="350">
        <f>A227+1</f>
        <v>38</v>
      </c>
      <c r="B230" s="448" t="s">
        <v>1071</v>
      </c>
      <c r="C230" s="349" t="s">
        <v>1072</v>
      </c>
      <c r="D230" s="349" t="s">
        <v>344</v>
      </c>
      <c r="E230" s="350">
        <v>2</v>
      </c>
      <c r="F230" s="350">
        <v>30</v>
      </c>
      <c r="G230" s="350">
        <v>15</v>
      </c>
      <c r="H230" s="350">
        <f>G230*F230</f>
        <v>450</v>
      </c>
      <c r="I230" s="350">
        <f>H230*E230</f>
        <v>900</v>
      </c>
      <c r="J230" s="351">
        <v>32.25</v>
      </c>
      <c r="K230" s="352" t="s">
        <v>1073</v>
      </c>
      <c r="L230" s="352" t="s">
        <v>1074</v>
      </c>
      <c r="N230" s="347"/>
      <c r="O230" s="347"/>
    </row>
    <row r="231" spans="1:15" s="558" customFormat="1" ht="78.75">
      <c r="A231" s="350">
        <f>A230+1</f>
        <v>39</v>
      </c>
      <c r="B231" s="442" t="s">
        <v>1075</v>
      </c>
      <c r="C231" s="349" t="s">
        <v>1076</v>
      </c>
      <c r="D231" s="349" t="s">
        <v>18</v>
      </c>
      <c r="E231" s="350">
        <v>3</v>
      </c>
      <c r="F231" s="350">
        <v>30</v>
      </c>
      <c r="G231" s="350">
        <v>20</v>
      </c>
      <c r="H231" s="350">
        <f>G231*F231</f>
        <v>600</v>
      </c>
      <c r="I231" s="350">
        <f>H231*E231</f>
        <v>1800</v>
      </c>
      <c r="J231" s="351">
        <v>43</v>
      </c>
      <c r="K231" s="352" t="s">
        <v>1190</v>
      </c>
      <c r="L231" s="352" t="s">
        <v>1074</v>
      </c>
      <c r="N231" s="347"/>
      <c r="O231" s="347"/>
    </row>
    <row r="232" spans="1:15" s="558" customFormat="1" ht="84">
      <c r="A232" s="350">
        <f>A231+1</f>
        <v>40</v>
      </c>
      <c r="B232" s="348" t="s">
        <v>139</v>
      </c>
      <c r="C232" s="349" t="s">
        <v>1078</v>
      </c>
      <c r="D232" s="349" t="s">
        <v>1079</v>
      </c>
      <c r="E232" s="350">
        <v>7</v>
      </c>
      <c r="F232" s="350">
        <v>30</v>
      </c>
      <c r="G232" s="350">
        <v>1</v>
      </c>
      <c r="H232" s="350">
        <f>G232*F232</f>
        <v>30</v>
      </c>
      <c r="I232" s="350">
        <f>H232*E232</f>
        <v>210</v>
      </c>
      <c r="J232" s="351">
        <v>4</v>
      </c>
      <c r="K232" s="352" t="s">
        <v>1077</v>
      </c>
      <c r="L232" s="352" t="s">
        <v>1074</v>
      </c>
      <c r="N232" s="347"/>
      <c r="O232" s="347"/>
    </row>
    <row r="233" spans="1:15" s="558" customFormat="1">
      <c r="A233" s="438"/>
      <c r="B233" s="439" t="s">
        <v>209</v>
      </c>
      <c r="C233" s="439"/>
      <c r="D233" s="439"/>
      <c r="E233" s="439"/>
      <c r="F233" s="439"/>
      <c r="G233" s="440">
        <f>SUM(G230:G232)</f>
        <v>36</v>
      </c>
      <c r="H233" s="440">
        <f t="shared" ref="H233:J233" si="42">SUM(H230:H232)</f>
        <v>1080</v>
      </c>
      <c r="I233" s="440">
        <f t="shared" si="42"/>
        <v>2910</v>
      </c>
      <c r="J233" s="441">
        <f t="shared" si="42"/>
        <v>79.25</v>
      </c>
      <c r="K233" s="439"/>
      <c r="L233" s="439"/>
      <c r="N233" s="347"/>
      <c r="O233" s="347"/>
    </row>
    <row r="234" spans="1:15" s="558" customFormat="1">
      <c r="A234" s="447"/>
      <c r="B234" s="444" t="s">
        <v>73</v>
      </c>
      <c r="C234" s="444"/>
      <c r="D234" s="444"/>
      <c r="E234" s="430"/>
      <c r="F234" s="430"/>
      <c r="G234" s="430"/>
      <c r="H234" s="430"/>
      <c r="I234" s="430"/>
      <c r="J234" s="430"/>
      <c r="K234" s="431"/>
      <c r="L234" s="430"/>
      <c r="N234" s="347"/>
      <c r="O234" s="347"/>
    </row>
    <row r="235" spans="1:15" s="558" customFormat="1" ht="36">
      <c r="A235" s="350">
        <f>A232+1</f>
        <v>41</v>
      </c>
      <c r="B235" s="348" t="s">
        <v>474</v>
      </c>
      <c r="C235" s="349" t="s">
        <v>1080</v>
      </c>
      <c r="D235" s="349" t="s">
        <v>1081</v>
      </c>
      <c r="E235" s="350">
        <v>1</v>
      </c>
      <c r="F235" s="350">
        <v>25</v>
      </c>
      <c r="G235" s="350">
        <v>13</v>
      </c>
      <c r="H235" s="350">
        <f>G235*F235</f>
        <v>325</v>
      </c>
      <c r="I235" s="350">
        <f>H235*E235</f>
        <v>325</v>
      </c>
      <c r="J235" s="351">
        <f>9.5+2.85</f>
        <v>12.35</v>
      </c>
      <c r="K235" s="352" t="s">
        <v>657</v>
      </c>
      <c r="L235" s="352" t="s">
        <v>1016</v>
      </c>
      <c r="N235" s="347"/>
      <c r="O235" s="347"/>
    </row>
    <row r="236" spans="1:15" s="558" customFormat="1" ht="48">
      <c r="A236" s="350">
        <f>A235+1</f>
        <v>42</v>
      </c>
      <c r="B236" s="348" t="s">
        <v>1082</v>
      </c>
      <c r="C236" s="349" t="s">
        <v>1083</v>
      </c>
      <c r="D236" s="349" t="s">
        <v>1084</v>
      </c>
      <c r="E236" s="350">
        <v>2</v>
      </c>
      <c r="F236" s="350">
        <v>25</v>
      </c>
      <c r="G236" s="350">
        <v>3</v>
      </c>
      <c r="H236" s="350">
        <f>G236*F236</f>
        <v>75</v>
      </c>
      <c r="I236" s="350">
        <f>H236*E236</f>
        <v>150</v>
      </c>
      <c r="J236" s="351">
        <v>5.7</v>
      </c>
      <c r="K236" s="352" t="s">
        <v>657</v>
      </c>
      <c r="L236" s="352" t="s">
        <v>1016</v>
      </c>
      <c r="N236" s="347"/>
      <c r="O236" s="347"/>
    </row>
    <row r="237" spans="1:15" s="558" customFormat="1" ht="48">
      <c r="A237" s="350">
        <f t="shared" ref="A237:A238" si="43">A236+1</f>
        <v>43</v>
      </c>
      <c r="B237" s="348" t="s">
        <v>1085</v>
      </c>
      <c r="C237" s="349" t="s">
        <v>140</v>
      </c>
      <c r="D237" s="349" t="s">
        <v>141</v>
      </c>
      <c r="E237" s="350">
        <v>1</v>
      </c>
      <c r="F237" s="350">
        <v>30</v>
      </c>
      <c r="G237" s="350">
        <v>36</v>
      </c>
      <c r="H237" s="350">
        <f>G237*F237</f>
        <v>1080</v>
      </c>
      <c r="I237" s="350">
        <v>1080</v>
      </c>
      <c r="J237" s="351">
        <v>11.88</v>
      </c>
      <c r="K237" s="352" t="s">
        <v>1086</v>
      </c>
      <c r="L237" s="352" t="s">
        <v>1016</v>
      </c>
      <c r="N237" s="347"/>
      <c r="O237" s="347"/>
    </row>
    <row r="238" spans="1:15" s="558" customFormat="1" ht="60">
      <c r="A238" s="350">
        <f t="shared" si="43"/>
        <v>44</v>
      </c>
      <c r="B238" s="348" t="s">
        <v>1087</v>
      </c>
      <c r="C238" s="349" t="s">
        <v>1088</v>
      </c>
      <c r="D238" s="349" t="s">
        <v>1089</v>
      </c>
      <c r="E238" s="350">
        <v>2</v>
      </c>
      <c r="F238" s="350">
        <v>30</v>
      </c>
      <c r="G238" s="350">
        <v>12</v>
      </c>
      <c r="H238" s="350">
        <f>G238*F238</f>
        <v>360</v>
      </c>
      <c r="I238" s="350">
        <f>H238*E238</f>
        <v>720</v>
      </c>
      <c r="J238" s="351">
        <f>19.5+3.9</f>
        <v>23.4</v>
      </c>
      <c r="K238" s="352" t="s">
        <v>657</v>
      </c>
      <c r="L238" s="352" t="s">
        <v>1016</v>
      </c>
      <c r="N238" s="347"/>
      <c r="O238" s="347"/>
    </row>
    <row r="239" spans="1:15" s="558" customFormat="1">
      <c r="A239" s="438"/>
      <c r="B239" s="439" t="s">
        <v>1109</v>
      </c>
      <c r="C239" s="439"/>
      <c r="D239" s="439"/>
      <c r="E239" s="439"/>
      <c r="F239" s="439"/>
      <c r="G239" s="439">
        <f>SUM(G235:G238)</f>
        <v>64</v>
      </c>
      <c r="H239" s="439">
        <f t="shared" ref="H239:J239" si="44">SUM(H235:H238)</f>
        <v>1840</v>
      </c>
      <c r="I239" s="439">
        <f t="shared" si="44"/>
        <v>2275</v>
      </c>
      <c r="J239" s="439">
        <f t="shared" si="44"/>
        <v>53.33</v>
      </c>
      <c r="K239" s="439"/>
      <c r="L239" s="439"/>
      <c r="N239" s="347"/>
      <c r="O239" s="347"/>
    </row>
    <row r="240" spans="1:15" s="558" customFormat="1">
      <c r="A240" s="447"/>
      <c r="B240" s="449" t="s">
        <v>105</v>
      </c>
      <c r="C240" s="449"/>
      <c r="D240" s="449"/>
      <c r="E240" s="430"/>
      <c r="F240" s="430"/>
      <c r="G240" s="430"/>
      <c r="H240" s="430"/>
      <c r="I240" s="430"/>
      <c r="J240" s="430"/>
      <c r="K240" s="431"/>
      <c r="L240" s="430"/>
      <c r="N240" s="347"/>
      <c r="O240" s="347"/>
    </row>
    <row r="241" spans="1:15" s="558" customFormat="1" ht="24">
      <c r="A241" s="350">
        <f>A238+1</f>
        <v>45</v>
      </c>
      <c r="B241" s="348" t="s">
        <v>74</v>
      </c>
      <c r="C241" s="349" t="s">
        <v>142</v>
      </c>
      <c r="D241" s="349" t="s">
        <v>1090</v>
      </c>
      <c r="E241" s="350">
        <v>1</v>
      </c>
      <c r="F241" s="350">
        <v>30</v>
      </c>
      <c r="G241" s="350">
        <v>10</v>
      </c>
      <c r="H241" s="350">
        <f t="shared" ref="H241:H252" si="45">G241*F241</f>
        <v>300</v>
      </c>
      <c r="I241" s="350">
        <f t="shared" ref="I241:I252" si="46">H241*E241</f>
        <v>300</v>
      </c>
      <c r="J241" s="351">
        <v>12</v>
      </c>
      <c r="K241" s="352" t="s">
        <v>1091</v>
      </c>
      <c r="L241" s="352" t="s">
        <v>1057</v>
      </c>
      <c r="N241" s="347"/>
      <c r="O241" s="347"/>
    </row>
    <row r="242" spans="1:15" s="558" customFormat="1" ht="24">
      <c r="A242" s="350">
        <f>A241+1</f>
        <v>46</v>
      </c>
      <c r="B242" s="348" t="s">
        <v>75</v>
      </c>
      <c r="C242" s="349" t="s">
        <v>1191</v>
      </c>
      <c r="D242" s="349" t="s">
        <v>1192</v>
      </c>
      <c r="E242" s="350">
        <v>2</v>
      </c>
      <c r="F242" s="350">
        <v>30</v>
      </c>
      <c r="G242" s="350">
        <v>2</v>
      </c>
      <c r="H242" s="350">
        <v>60</v>
      </c>
      <c r="I242" s="350">
        <v>120</v>
      </c>
      <c r="J242" s="351">
        <v>3.2</v>
      </c>
      <c r="K242" s="352" t="s">
        <v>1032</v>
      </c>
      <c r="L242" s="352" t="s">
        <v>1057</v>
      </c>
      <c r="N242" s="347"/>
      <c r="O242" s="347"/>
    </row>
    <row r="243" spans="1:15" s="558" customFormat="1" ht="24">
      <c r="A243" s="350">
        <f t="shared" ref="A243:A252" si="47">A242+1</f>
        <v>47</v>
      </c>
      <c r="B243" s="348" t="s">
        <v>76</v>
      </c>
      <c r="C243" s="349" t="s">
        <v>1092</v>
      </c>
      <c r="D243" s="349" t="s">
        <v>1093</v>
      </c>
      <c r="E243" s="350">
        <v>1</v>
      </c>
      <c r="F243" s="350">
        <v>30</v>
      </c>
      <c r="G243" s="350">
        <v>8</v>
      </c>
      <c r="H243" s="350">
        <f t="shared" si="45"/>
        <v>240</v>
      </c>
      <c r="I243" s="350">
        <f t="shared" si="46"/>
        <v>240</v>
      </c>
      <c r="J243" s="351">
        <v>6.59</v>
      </c>
      <c r="K243" s="352" t="s">
        <v>1094</v>
      </c>
      <c r="L243" s="352" t="s">
        <v>1057</v>
      </c>
      <c r="N243" s="347"/>
      <c r="O243" s="347"/>
    </row>
    <row r="244" spans="1:15" s="558" customFormat="1" ht="36">
      <c r="A244" s="350">
        <f t="shared" si="47"/>
        <v>48</v>
      </c>
      <c r="B244" s="348" t="s">
        <v>77</v>
      </c>
      <c r="C244" s="349" t="s">
        <v>1193</v>
      </c>
      <c r="D244" s="349" t="s">
        <v>1194</v>
      </c>
      <c r="E244" s="350">
        <v>2</v>
      </c>
      <c r="F244" s="350">
        <v>30</v>
      </c>
      <c r="G244" s="350">
        <v>8</v>
      </c>
      <c r="H244" s="350">
        <v>240</v>
      </c>
      <c r="I244" s="350">
        <v>480</v>
      </c>
      <c r="J244" s="351">
        <v>11.5</v>
      </c>
      <c r="K244" s="352" t="s">
        <v>1195</v>
      </c>
      <c r="L244" s="352" t="s">
        <v>1057</v>
      </c>
      <c r="N244" s="347"/>
      <c r="O244" s="347"/>
    </row>
    <row r="245" spans="1:15" s="558" customFormat="1" ht="24">
      <c r="A245" s="350">
        <f t="shared" si="47"/>
        <v>49</v>
      </c>
      <c r="B245" s="348" t="s">
        <v>1196</v>
      </c>
      <c r="C245" s="349" t="s">
        <v>1174</v>
      </c>
      <c r="D245" s="349" t="s">
        <v>1197</v>
      </c>
      <c r="E245" s="350">
        <v>1</v>
      </c>
      <c r="F245" s="350">
        <v>30</v>
      </c>
      <c r="G245" s="350">
        <v>1</v>
      </c>
      <c r="H245" s="350">
        <v>30</v>
      </c>
      <c r="I245" s="350">
        <v>30</v>
      </c>
      <c r="J245" s="351">
        <v>1.05</v>
      </c>
      <c r="K245" s="352" t="s">
        <v>1032</v>
      </c>
      <c r="L245" s="352" t="s">
        <v>1057</v>
      </c>
      <c r="N245" s="347"/>
      <c r="O245" s="347"/>
    </row>
    <row r="246" spans="1:15" s="558" customFormat="1" ht="24">
      <c r="A246" s="350">
        <f t="shared" si="47"/>
        <v>50</v>
      </c>
      <c r="B246" s="348" t="s">
        <v>78</v>
      </c>
      <c r="C246" s="349" t="s">
        <v>475</v>
      </c>
      <c r="D246" s="349" t="s">
        <v>1198</v>
      </c>
      <c r="E246" s="350">
        <v>1</v>
      </c>
      <c r="F246" s="350">
        <v>30</v>
      </c>
      <c r="G246" s="350">
        <v>15</v>
      </c>
      <c r="H246" s="350">
        <f>G246*F246</f>
        <v>450</v>
      </c>
      <c r="I246" s="350">
        <f>H246*E246</f>
        <v>450</v>
      </c>
      <c r="J246" s="351">
        <v>10.5</v>
      </c>
      <c r="K246" s="352" t="s">
        <v>1195</v>
      </c>
      <c r="L246" s="352" t="s">
        <v>1057</v>
      </c>
      <c r="N246" s="347"/>
      <c r="O246" s="347"/>
    </row>
    <row r="247" spans="1:15" s="558" customFormat="1" ht="36">
      <c r="A247" s="350">
        <f t="shared" si="47"/>
        <v>51</v>
      </c>
      <c r="B247" s="348" t="s">
        <v>79</v>
      </c>
      <c r="C247" s="349" t="s">
        <v>475</v>
      </c>
      <c r="D247" s="349" t="s">
        <v>1199</v>
      </c>
      <c r="E247" s="350">
        <v>1</v>
      </c>
      <c r="F247" s="350">
        <v>30</v>
      </c>
      <c r="G247" s="350">
        <v>40</v>
      </c>
      <c r="H247" s="350">
        <f t="shared" si="45"/>
        <v>1200</v>
      </c>
      <c r="I247" s="350">
        <f t="shared" si="46"/>
        <v>1200</v>
      </c>
      <c r="J247" s="351">
        <v>10</v>
      </c>
      <c r="K247" s="352" t="s">
        <v>143</v>
      </c>
      <c r="L247" s="352" t="s">
        <v>1057</v>
      </c>
      <c r="N247" s="347"/>
      <c r="O247" s="347"/>
    </row>
    <row r="248" spans="1:15" ht="60">
      <c r="A248" s="350">
        <f>A247+1</f>
        <v>52</v>
      </c>
      <c r="B248" s="348" t="s">
        <v>80</v>
      </c>
      <c r="C248" s="349" t="s">
        <v>475</v>
      </c>
      <c r="D248" s="349" t="s">
        <v>1095</v>
      </c>
      <c r="E248" s="350">
        <v>1</v>
      </c>
      <c r="F248" s="350">
        <v>30</v>
      </c>
      <c r="G248" s="350">
        <v>4</v>
      </c>
      <c r="H248" s="350">
        <f t="shared" si="45"/>
        <v>120</v>
      </c>
      <c r="I248" s="350">
        <f t="shared" si="46"/>
        <v>120</v>
      </c>
      <c r="J248" s="351">
        <v>3.2</v>
      </c>
      <c r="K248" s="352" t="s">
        <v>1094</v>
      </c>
      <c r="L248" s="352" t="s">
        <v>1057</v>
      </c>
    </row>
    <row r="249" spans="1:15" ht="24">
      <c r="A249" s="350">
        <f t="shared" si="47"/>
        <v>53</v>
      </c>
      <c r="B249" s="348" t="s">
        <v>81</v>
      </c>
      <c r="C249" s="349" t="s">
        <v>144</v>
      </c>
      <c r="D249" s="349" t="s">
        <v>1096</v>
      </c>
      <c r="E249" s="350">
        <v>3</v>
      </c>
      <c r="F249" s="350">
        <v>30</v>
      </c>
      <c r="G249" s="432">
        <v>15</v>
      </c>
      <c r="H249" s="350">
        <f t="shared" si="45"/>
        <v>450</v>
      </c>
      <c r="I249" s="350">
        <f t="shared" si="46"/>
        <v>1350</v>
      </c>
      <c r="J249" s="351">
        <v>23.6</v>
      </c>
      <c r="K249" s="352" t="s">
        <v>1094</v>
      </c>
      <c r="L249" s="352" t="s">
        <v>1057</v>
      </c>
    </row>
    <row r="250" spans="1:15" ht="24">
      <c r="A250" s="350">
        <f>A249+1</f>
        <v>54</v>
      </c>
      <c r="B250" s="348" t="s">
        <v>82</v>
      </c>
      <c r="C250" s="349" t="s">
        <v>1200</v>
      </c>
      <c r="D250" s="349" t="s">
        <v>1097</v>
      </c>
      <c r="E250" s="350">
        <v>1</v>
      </c>
      <c r="F250" s="350">
        <v>30</v>
      </c>
      <c r="G250" s="350">
        <v>20</v>
      </c>
      <c r="H250" s="350">
        <f t="shared" si="45"/>
        <v>600</v>
      </c>
      <c r="I250" s="350">
        <f t="shared" si="46"/>
        <v>600</v>
      </c>
      <c r="J250" s="351">
        <v>6</v>
      </c>
      <c r="K250" s="352" t="s">
        <v>143</v>
      </c>
      <c r="L250" s="352" t="s">
        <v>1057</v>
      </c>
    </row>
    <row r="251" spans="1:15" ht="48">
      <c r="A251" s="350">
        <f t="shared" si="47"/>
        <v>55</v>
      </c>
      <c r="B251" s="348" t="s">
        <v>313</v>
      </c>
      <c r="C251" s="349" t="s">
        <v>1098</v>
      </c>
      <c r="D251" s="349" t="s">
        <v>1099</v>
      </c>
      <c r="E251" s="350">
        <v>1</v>
      </c>
      <c r="F251" s="350">
        <v>250</v>
      </c>
      <c r="G251" s="350">
        <v>1</v>
      </c>
      <c r="H251" s="350">
        <f t="shared" si="45"/>
        <v>250</v>
      </c>
      <c r="I251" s="350">
        <f t="shared" si="46"/>
        <v>250</v>
      </c>
      <c r="J251" s="351">
        <v>5</v>
      </c>
      <c r="K251" s="352" t="s">
        <v>1032</v>
      </c>
      <c r="L251" s="352" t="s">
        <v>1057</v>
      </c>
    </row>
    <row r="252" spans="1:15" ht="24">
      <c r="A252" s="350">
        <f t="shared" si="47"/>
        <v>56</v>
      </c>
      <c r="B252" s="348" t="s">
        <v>1201</v>
      </c>
      <c r="C252" s="349" t="s">
        <v>1202</v>
      </c>
      <c r="D252" s="349" t="s">
        <v>1203</v>
      </c>
      <c r="E252" s="350">
        <v>1</v>
      </c>
      <c r="F252" s="350">
        <v>36</v>
      </c>
      <c r="G252" s="350">
        <v>1</v>
      </c>
      <c r="H252" s="350">
        <f t="shared" si="45"/>
        <v>36</v>
      </c>
      <c r="I252" s="350">
        <f t="shared" si="46"/>
        <v>36</v>
      </c>
      <c r="J252" s="351">
        <v>0.5</v>
      </c>
      <c r="K252" s="352" t="s">
        <v>1032</v>
      </c>
      <c r="L252" s="352" t="s">
        <v>1057</v>
      </c>
    </row>
    <row r="253" spans="1:15">
      <c r="A253" s="438"/>
      <c r="B253" s="439" t="s">
        <v>1108</v>
      </c>
      <c r="C253" s="439"/>
      <c r="D253" s="439"/>
      <c r="E253" s="439"/>
      <c r="F253" s="439"/>
      <c r="G253" s="440">
        <f>SUM(G241:G252)</f>
        <v>125</v>
      </c>
      <c r="H253" s="440">
        <f>SUM(H241:H252)</f>
        <v>3976</v>
      </c>
      <c r="I253" s="440">
        <f>SUM(I241:I252)</f>
        <v>5176</v>
      </c>
      <c r="J253" s="439">
        <f>SUM(J241:J252)</f>
        <v>93.14</v>
      </c>
      <c r="K253" s="439"/>
      <c r="L253" s="439"/>
    </row>
    <row r="254" spans="1:15">
      <c r="A254" s="447"/>
      <c r="B254" s="444" t="s">
        <v>83</v>
      </c>
      <c r="C254" s="444"/>
      <c r="D254" s="444"/>
      <c r="E254" s="430"/>
      <c r="F254" s="430"/>
      <c r="G254" s="430"/>
      <c r="H254" s="430"/>
      <c r="I254" s="430"/>
      <c r="J254" s="430"/>
      <c r="K254" s="431"/>
      <c r="L254" s="430"/>
    </row>
    <row r="255" spans="1:15" ht="36">
      <c r="A255" s="350">
        <f>A252+1</f>
        <v>57</v>
      </c>
      <c r="B255" s="348" t="s">
        <v>1100</v>
      </c>
      <c r="C255" s="349" t="s">
        <v>1101</v>
      </c>
      <c r="D255" s="349" t="s">
        <v>1102</v>
      </c>
      <c r="E255" s="350">
        <v>1</v>
      </c>
      <c r="F255" s="350">
        <v>30</v>
      </c>
      <c r="G255" s="350">
        <v>1</v>
      </c>
      <c r="H255" s="350">
        <v>30</v>
      </c>
      <c r="I255" s="350">
        <v>30</v>
      </c>
      <c r="J255" s="351">
        <v>1.5</v>
      </c>
      <c r="K255" s="352" t="s">
        <v>1204</v>
      </c>
      <c r="L255" s="352" t="s">
        <v>1016</v>
      </c>
    </row>
    <row r="256" spans="1:15" ht="36">
      <c r="A256" s="350">
        <f>A255+1</f>
        <v>58</v>
      </c>
      <c r="B256" s="348" t="s">
        <v>1100</v>
      </c>
      <c r="C256" s="349" t="s">
        <v>1103</v>
      </c>
      <c r="D256" s="349" t="s">
        <v>1104</v>
      </c>
      <c r="E256" s="350">
        <v>2</v>
      </c>
      <c r="F256" s="350">
        <v>30</v>
      </c>
      <c r="G256" s="350">
        <v>6</v>
      </c>
      <c r="H256" s="350">
        <v>180</v>
      </c>
      <c r="I256" s="350">
        <v>360</v>
      </c>
      <c r="J256" s="351">
        <v>11.5</v>
      </c>
      <c r="K256" s="352" t="s">
        <v>1204</v>
      </c>
      <c r="L256" s="352" t="s">
        <v>1016</v>
      </c>
    </row>
    <row r="257" spans="1:13" ht="36">
      <c r="A257" s="350">
        <f t="shared" ref="A257:A258" si="48">A256+1</f>
        <v>59</v>
      </c>
      <c r="B257" s="348" t="s">
        <v>1100</v>
      </c>
      <c r="C257" s="349" t="s">
        <v>1105</v>
      </c>
      <c r="D257" s="349" t="s">
        <v>145</v>
      </c>
      <c r="E257" s="350">
        <v>2</v>
      </c>
      <c r="F257" s="350">
        <v>30</v>
      </c>
      <c r="G257" s="350">
        <v>4</v>
      </c>
      <c r="H257" s="350">
        <v>120</v>
      </c>
      <c r="I257" s="350">
        <v>240</v>
      </c>
      <c r="J257" s="351">
        <v>7</v>
      </c>
      <c r="K257" s="352" t="s">
        <v>1204</v>
      </c>
      <c r="L257" s="352" t="s">
        <v>1016</v>
      </c>
    </row>
    <row r="258" spans="1:13" ht="36">
      <c r="A258" s="350">
        <f t="shared" si="48"/>
        <v>60</v>
      </c>
      <c r="B258" s="348" t="s">
        <v>1100</v>
      </c>
      <c r="C258" s="349" t="s">
        <v>1106</v>
      </c>
      <c r="D258" s="349" t="s">
        <v>1107</v>
      </c>
      <c r="E258" s="350">
        <v>1</v>
      </c>
      <c r="F258" s="350">
        <v>35</v>
      </c>
      <c r="G258" s="350">
        <v>2</v>
      </c>
      <c r="H258" s="350">
        <v>70</v>
      </c>
      <c r="I258" s="350">
        <v>70</v>
      </c>
      <c r="J258" s="351">
        <v>3</v>
      </c>
      <c r="K258" s="352" t="s">
        <v>1204</v>
      </c>
      <c r="L258" s="352" t="s">
        <v>1016</v>
      </c>
    </row>
    <row r="259" spans="1:13" ht="12.75" customHeight="1">
      <c r="A259" s="438"/>
      <c r="B259" s="439" t="s">
        <v>1502</v>
      </c>
      <c r="C259" s="439"/>
      <c r="D259" s="439"/>
      <c r="E259" s="439"/>
      <c r="F259" s="439"/>
      <c r="G259" s="440">
        <f>SUM(G255:G258)</f>
        <v>13</v>
      </c>
      <c r="H259" s="440">
        <f>SUM(H255:H258)</f>
        <v>400</v>
      </c>
      <c r="I259" s="440">
        <f>SUM(I255:I258)</f>
        <v>700</v>
      </c>
      <c r="J259" s="450">
        <f>SUM(J255:J258)</f>
        <v>23</v>
      </c>
      <c r="K259" s="439"/>
      <c r="L259" s="439"/>
    </row>
    <row r="260" spans="1:13">
      <c r="A260" s="451"/>
      <c r="B260" s="451"/>
      <c r="C260" s="452" t="s">
        <v>1503</v>
      </c>
      <c r="D260" s="452"/>
      <c r="E260" s="452"/>
      <c r="F260" s="451"/>
      <c r="G260" s="452">
        <f>G259+G253+G239+G233+G228+G217+G211+G199</f>
        <v>943</v>
      </c>
      <c r="H260" s="452">
        <f>H259+H253+H239+H233+H228+H217+H211+H199</f>
        <v>37643</v>
      </c>
      <c r="I260" s="452">
        <f>I259+I253+I239+I233+I228+I217+I211+I199</f>
        <v>57037</v>
      </c>
      <c r="J260" s="453">
        <f>J259+J253+J239+J233+J228+J217+J211+J199</f>
        <v>810.67000000000007</v>
      </c>
      <c r="K260" s="454"/>
      <c r="L260" s="451"/>
    </row>
    <row r="261" spans="1:13" ht="20.25">
      <c r="A261" s="363" t="s">
        <v>704</v>
      </c>
      <c r="B261" s="455"/>
      <c r="C261" s="456"/>
      <c r="D261" s="457"/>
      <c r="E261" s="457"/>
      <c r="F261" s="457"/>
      <c r="G261" s="457"/>
      <c r="H261" s="457"/>
      <c r="I261" s="457"/>
      <c r="J261" s="458"/>
      <c r="K261" s="459"/>
      <c r="L261" s="457"/>
    </row>
    <row r="262" spans="1:13" s="571" customFormat="1" ht="48">
      <c r="A262" s="421">
        <v>1</v>
      </c>
      <c r="B262" s="342"/>
      <c r="C262" s="343" t="s">
        <v>955</v>
      </c>
      <c r="D262" s="353" t="s">
        <v>705</v>
      </c>
      <c r="E262" s="332">
        <v>2</v>
      </c>
      <c r="F262" s="332">
        <v>25</v>
      </c>
      <c r="G262" s="332">
        <v>20</v>
      </c>
      <c r="H262" s="332">
        <f t="shared" ref="H262:H275" si="49">F262*G262</f>
        <v>500</v>
      </c>
      <c r="I262" s="332">
        <f t="shared" ref="I262:I275" si="50">H262*E262</f>
        <v>1000</v>
      </c>
      <c r="J262" s="345">
        <v>30</v>
      </c>
      <c r="K262" s="343" t="s">
        <v>706</v>
      </c>
      <c r="L262" s="346" t="s">
        <v>707</v>
      </c>
      <c r="M262" s="570"/>
    </row>
    <row r="263" spans="1:13" s="571" customFormat="1" ht="48">
      <c r="A263" s="421">
        <v>2</v>
      </c>
      <c r="B263" s="342"/>
      <c r="C263" s="343" t="s">
        <v>956</v>
      </c>
      <c r="D263" s="353" t="s">
        <v>705</v>
      </c>
      <c r="E263" s="332">
        <v>3</v>
      </c>
      <c r="F263" s="332">
        <v>25</v>
      </c>
      <c r="G263" s="332">
        <v>20</v>
      </c>
      <c r="H263" s="332">
        <f t="shared" si="49"/>
        <v>500</v>
      </c>
      <c r="I263" s="332">
        <f t="shared" si="50"/>
        <v>1500</v>
      </c>
      <c r="J263" s="345">
        <v>45</v>
      </c>
      <c r="K263" s="343" t="s">
        <v>708</v>
      </c>
      <c r="L263" s="346" t="s">
        <v>707</v>
      </c>
      <c r="M263" s="570"/>
    </row>
    <row r="264" spans="1:13" s="571" customFormat="1" ht="33.75">
      <c r="A264" s="421">
        <v>3</v>
      </c>
      <c r="B264" s="342"/>
      <c r="C264" s="343" t="s">
        <v>188</v>
      </c>
      <c r="D264" s="353" t="s">
        <v>709</v>
      </c>
      <c r="E264" s="332">
        <v>2</v>
      </c>
      <c r="F264" s="332">
        <v>30</v>
      </c>
      <c r="G264" s="332">
        <v>16</v>
      </c>
      <c r="H264" s="332">
        <f t="shared" si="49"/>
        <v>480</v>
      </c>
      <c r="I264" s="332">
        <f t="shared" si="50"/>
        <v>960</v>
      </c>
      <c r="J264" s="345">
        <v>28.8</v>
      </c>
      <c r="K264" s="343" t="s">
        <v>710</v>
      </c>
      <c r="L264" s="346" t="s">
        <v>707</v>
      </c>
      <c r="M264" s="570"/>
    </row>
    <row r="265" spans="1:13" s="571" customFormat="1" ht="33.75">
      <c r="A265" s="421">
        <v>4</v>
      </c>
      <c r="B265" s="342"/>
      <c r="C265" s="343" t="s">
        <v>711</v>
      </c>
      <c r="D265" s="353" t="s">
        <v>709</v>
      </c>
      <c r="E265" s="332">
        <v>3</v>
      </c>
      <c r="F265" s="332">
        <v>30</v>
      </c>
      <c r="G265" s="332">
        <v>16</v>
      </c>
      <c r="H265" s="332">
        <f t="shared" si="49"/>
        <v>480</v>
      </c>
      <c r="I265" s="332">
        <f t="shared" si="50"/>
        <v>1440</v>
      </c>
      <c r="J265" s="345">
        <v>35.119999999999997</v>
      </c>
      <c r="K265" s="343" t="s">
        <v>712</v>
      </c>
      <c r="L265" s="346" t="s">
        <v>707</v>
      </c>
      <c r="M265" s="570"/>
    </row>
    <row r="266" spans="1:13" s="571" customFormat="1" ht="24">
      <c r="A266" s="421">
        <v>5</v>
      </c>
      <c r="B266" s="342"/>
      <c r="C266" s="343" t="s">
        <v>713</v>
      </c>
      <c r="D266" s="353" t="s">
        <v>714</v>
      </c>
      <c r="E266" s="332">
        <v>3</v>
      </c>
      <c r="F266" s="332">
        <v>30</v>
      </c>
      <c r="G266" s="332">
        <v>3</v>
      </c>
      <c r="H266" s="332">
        <f t="shared" si="49"/>
        <v>90</v>
      </c>
      <c r="I266" s="332">
        <f t="shared" si="50"/>
        <v>270</v>
      </c>
      <c r="J266" s="345">
        <v>18</v>
      </c>
      <c r="K266" s="343" t="s">
        <v>708</v>
      </c>
      <c r="L266" s="346" t="s">
        <v>707</v>
      </c>
      <c r="M266" s="570"/>
    </row>
    <row r="267" spans="1:13" s="571" customFormat="1" ht="24">
      <c r="A267" s="421">
        <v>6</v>
      </c>
      <c r="B267" s="342"/>
      <c r="C267" s="343" t="s">
        <v>715</v>
      </c>
      <c r="D267" s="353" t="s">
        <v>716</v>
      </c>
      <c r="E267" s="332">
        <v>3</v>
      </c>
      <c r="F267" s="332">
        <v>30</v>
      </c>
      <c r="G267" s="332">
        <v>3</v>
      </c>
      <c r="H267" s="332">
        <f t="shared" si="49"/>
        <v>90</v>
      </c>
      <c r="I267" s="332">
        <f t="shared" si="50"/>
        <v>270</v>
      </c>
      <c r="J267" s="345">
        <v>8.64</v>
      </c>
      <c r="K267" s="343" t="s">
        <v>712</v>
      </c>
      <c r="L267" s="346" t="s">
        <v>707</v>
      </c>
      <c r="M267" s="570"/>
    </row>
    <row r="268" spans="1:13" s="571" customFormat="1" ht="24">
      <c r="A268" s="421">
        <v>7</v>
      </c>
      <c r="B268" s="460"/>
      <c r="C268" s="343" t="s">
        <v>717</v>
      </c>
      <c r="D268" s="353" t="s">
        <v>718</v>
      </c>
      <c r="E268" s="332">
        <v>3</v>
      </c>
      <c r="F268" s="332">
        <v>16</v>
      </c>
      <c r="G268" s="332">
        <v>4</v>
      </c>
      <c r="H268" s="332">
        <f t="shared" si="49"/>
        <v>64</v>
      </c>
      <c r="I268" s="332">
        <f t="shared" si="50"/>
        <v>192</v>
      </c>
      <c r="J268" s="345">
        <v>5.76</v>
      </c>
      <c r="K268" s="343" t="s">
        <v>712</v>
      </c>
      <c r="L268" s="346" t="s">
        <v>707</v>
      </c>
      <c r="M268" s="570"/>
    </row>
    <row r="269" spans="1:13" s="571" customFormat="1" ht="24">
      <c r="A269" s="421">
        <v>8</v>
      </c>
      <c r="B269" s="460"/>
      <c r="C269" s="343" t="s">
        <v>702</v>
      </c>
      <c r="D269" s="353" t="s">
        <v>719</v>
      </c>
      <c r="E269" s="332">
        <v>1</v>
      </c>
      <c r="F269" s="332">
        <v>30</v>
      </c>
      <c r="G269" s="332">
        <v>6</v>
      </c>
      <c r="H269" s="332">
        <f t="shared" si="49"/>
        <v>180</v>
      </c>
      <c r="I269" s="332">
        <f t="shared" si="50"/>
        <v>180</v>
      </c>
      <c r="J269" s="345">
        <v>5.4</v>
      </c>
      <c r="K269" s="461" t="s">
        <v>720</v>
      </c>
      <c r="L269" s="346" t="s">
        <v>707</v>
      </c>
      <c r="M269" s="570"/>
    </row>
    <row r="270" spans="1:13" s="571" customFormat="1" ht="36">
      <c r="A270" s="421">
        <v>9</v>
      </c>
      <c r="B270" s="460"/>
      <c r="C270" s="343" t="s">
        <v>703</v>
      </c>
      <c r="D270" s="353" t="s">
        <v>721</v>
      </c>
      <c r="E270" s="332">
        <v>1</v>
      </c>
      <c r="F270" s="332">
        <v>30</v>
      </c>
      <c r="G270" s="332">
        <v>6</v>
      </c>
      <c r="H270" s="332">
        <f t="shared" si="49"/>
        <v>180</v>
      </c>
      <c r="I270" s="332">
        <f t="shared" si="50"/>
        <v>180</v>
      </c>
      <c r="J270" s="345">
        <v>5.4</v>
      </c>
      <c r="K270" s="343" t="s">
        <v>722</v>
      </c>
      <c r="L270" s="346" t="s">
        <v>707</v>
      </c>
      <c r="M270" s="570"/>
    </row>
    <row r="271" spans="1:13" s="571" customFormat="1" ht="24">
      <c r="A271" s="421">
        <v>10</v>
      </c>
      <c r="B271" s="460"/>
      <c r="C271" s="343" t="s">
        <v>723</v>
      </c>
      <c r="D271" s="353" t="s">
        <v>724</v>
      </c>
      <c r="E271" s="332">
        <v>1</v>
      </c>
      <c r="F271" s="332">
        <v>30</v>
      </c>
      <c r="G271" s="332">
        <v>4</v>
      </c>
      <c r="H271" s="332">
        <f t="shared" si="49"/>
        <v>120</v>
      </c>
      <c r="I271" s="332">
        <f t="shared" si="50"/>
        <v>120</v>
      </c>
      <c r="J271" s="345">
        <v>3.6</v>
      </c>
      <c r="K271" s="461" t="s">
        <v>725</v>
      </c>
      <c r="L271" s="346" t="s">
        <v>707</v>
      </c>
      <c r="M271" s="570"/>
    </row>
    <row r="272" spans="1:13" s="571" customFormat="1" ht="24">
      <c r="A272" s="421">
        <v>11</v>
      </c>
      <c r="B272" s="460"/>
      <c r="C272" s="343" t="s">
        <v>726</v>
      </c>
      <c r="D272" s="353" t="s">
        <v>727</v>
      </c>
      <c r="E272" s="332">
        <v>1</v>
      </c>
      <c r="F272" s="332">
        <v>30</v>
      </c>
      <c r="G272" s="332">
        <v>8</v>
      </c>
      <c r="H272" s="332">
        <f t="shared" si="49"/>
        <v>240</v>
      </c>
      <c r="I272" s="332">
        <f t="shared" si="50"/>
        <v>240</v>
      </c>
      <c r="J272" s="345">
        <v>7.2</v>
      </c>
      <c r="K272" s="343" t="s">
        <v>712</v>
      </c>
      <c r="L272" s="346" t="s">
        <v>707</v>
      </c>
      <c r="M272" s="570"/>
    </row>
    <row r="273" spans="1:13" s="571" customFormat="1" ht="24">
      <c r="A273" s="421">
        <v>12</v>
      </c>
      <c r="B273" s="460"/>
      <c r="C273" s="343" t="s">
        <v>728</v>
      </c>
      <c r="D273" s="353" t="s">
        <v>729</v>
      </c>
      <c r="E273" s="332">
        <v>3</v>
      </c>
      <c r="F273" s="332">
        <v>30</v>
      </c>
      <c r="G273" s="332">
        <v>8</v>
      </c>
      <c r="H273" s="332">
        <f t="shared" si="49"/>
        <v>240</v>
      </c>
      <c r="I273" s="332">
        <f t="shared" si="50"/>
        <v>720</v>
      </c>
      <c r="J273" s="345">
        <v>50</v>
      </c>
      <c r="K273" s="462" t="s">
        <v>708</v>
      </c>
      <c r="L273" s="346" t="s">
        <v>707</v>
      </c>
      <c r="M273" s="570"/>
    </row>
    <row r="274" spans="1:13" s="571" customFormat="1" ht="36">
      <c r="A274" s="421">
        <v>13</v>
      </c>
      <c r="B274" s="460"/>
      <c r="C274" s="343" t="s">
        <v>730</v>
      </c>
      <c r="D274" s="353" t="s">
        <v>731</v>
      </c>
      <c r="E274" s="332">
        <v>1</v>
      </c>
      <c r="F274" s="332">
        <v>150</v>
      </c>
      <c r="G274" s="332">
        <v>20</v>
      </c>
      <c r="H274" s="332">
        <f t="shared" si="49"/>
        <v>3000</v>
      </c>
      <c r="I274" s="332">
        <f t="shared" si="50"/>
        <v>3000</v>
      </c>
      <c r="J274" s="345">
        <v>15</v>
      </c>
      <c r="K274" s="394" t="s">
        <v>732</v>
      </c>
      <c r="L274" s="346" t="s">
        <v>707</v>
      </c>
      <c r="M274" s="570"/>
    </row>
    <row r="275" spans="1:13" s="571" customFormat="1" ht="24">
      <c r="A275" s="421">
        <v>14</v>
      </c>
      <c r="B275" s="460"/>
      <c r="C275" s="343" t="s">
        <v>957</v>
      </c>
      <c r="D275" s="353" t="s">
        <v>733</v>
      </c>
      <c r="E275" s="332">
        <v>3</v>
      </c>
      <c r="F275" s="332">
        <v>30</v>
      </c>
      <c r="G275" s="332">
        <v>8</v>
      </c>
      <c r="H275" s="332">
        <f t="shared" si="49"/>
        <v>240</v>
      </c>
      <c r="I275" s="332">
        <f t="shared" si="50"/>
        <v>720</v>
      </c>
      <c r="J275" s="345">
        <v>21.6</v>
      </c>
      <c r="K275" s="463" t="s">
        <v>336</v>
      </c>
      <c r="L275" s="346" t="s">
        <v>707</v>
      </c>
      <c r="M275" s="570"/>
    </row>
    <row r="276" spans="1:13">
      <c r="A276" s="464"/>
      <c r="B276" s="464" t="s">
        <v>1286</v>
      </c>
      <c r="C276" s="465"/>
      <c r="D276" s="466"/>
      <c r="E276" s="466">
        <f>SUM(E262:E275)</f>
        <v>30</v>
      </c>
      <c r="F276" s="466">
        <f t="shared" ref="F276:J276" si="51">SUM(F262:F275)</f>
        <v>516</v>
      </c>
      <c r="G276" s="466">
        <f t="shared" si="51"/>
        <v>142</v>
      </c>
      <c r="H276" s="466">
        <f t="shared" si="51"/>
        <v>6404</v>
      </c>
      <c r="I276" s="466">
        <f t="shared" si="51"/>
        <v>10792</v>
      </c>
      <c r="J276" s="467">
        <f t="shared" si="51"/>
        <v>279.52</v>
      </c>
      <c r="K276" s="468"/>
      <c r="L276" s="466"/>
    </row>
    <row r="277" spans="1:13" ht="20.25">
      <c r="A277" s="363" t="s">
        <v>333</v>
      </c>
      <c r="B277" s="363"/>
      <c r="C277" s="363"/>
      <c r="D277" s="363"/>
      <c r="E277" s="363"/>
      <c r="F277" s="363"/>
      <c r="G277" s="363"/>
      <c r="H277" s="363"/>
      <c r="I277" s="363"/>
      <c r="J277" s="469"/>
      <c r="K277" s="364"/>
      <c r="L277" s="363"/>
    </row>
    <row r="278" spans="1:13" s="571" customFormat="1" ht="29.25" customHeight="1">
      <c r="A278" s="332">
        <v>1</v>
      </c>
      <c r="B278" s="470" t="s">
        <v>505</v>
      </c>
      <c r="C278" s="471" t="s">
        <v>1146</v>
      </c>
      <c r="D278" s="344" t="s">
        <v>513</v>
      </c>
      <c r="E278" s="472">
        <v>3</v>
      </c>
      <c r="F278" s="472">
        <v>17</v>
      </c>
      <c r="G278" s="472">
        <v>1</v>
      </c>
      <c r="H278" s="472">
        <f t="shared" ref="H278:H285" si="52">F278*G278</f>
        <v>17</v>
      </c>
      <c r="I278" s="472">
        <f>E278*H278</f>
        <v>51</v>
      </c>
      <c r="J278" s="473">
        <v>1</v>
      </c>
      <c r="K278" s="474" t="s">
        <v>522</v>
      </c>
      <c r="L278" s="346" t="s">
        <v>1154</v>
      </c>
      <c r="M278" s="570"/>
    </row>
    <row r="279" spans="1:13" s="571" customFormat="1" ht="24">
      <c r="A279" s="332">
        <f>1+A278</f>
        <v>2</v>
      </c>
      <c r="B279" s="470" t="s">
        <v>506</v>
      </c>
      <c r="C279" s="471" t="s">
        <v>1147</v>
      </c>
      <c r="D279" s="344" t="s">
        <v>514</v>
      </c>
      <c r="E279" s="472">
        <v>3</v>
      </c>
      <c r="F279" s="472">
        <v>17</v>
      </c>
      <c r="G279" s="472">
        <v>1</v>
      </c>
      <c r="H279" s="472">
        <f t="shared" si="52"/>
        <v>17</v>
      </c>
      <c r="I279" s="472">
        <f>E279*H279</f>
        <v>51</v>
      </c>
      <c r="J279" s="473">
        <v>1</v>
      </c>
      <c r="K279" s="474" t="s">
        <v>517</v>
      </c>
      <c r="L279" s="346" t="s">
        <v>1155</v>
      </c>
      <c r="M279" s="570"/>
    </row>
    <row r="280" spans="1:13" s="571" customFormat="1" ht="24">
      <c r="A280" s="332">
        <f t="shared" ref="A280:A284" si="53">1+A279</f>
        <v>3</v>
      </c>
      <c r="B280" s="470" t="s">
        <v>507</v>
      </c>
      <c r="C280" s="471" t="s">
        <v>1148</v>
      </c>
      <c r="D280" s="344" t="s">
        <v>513</v>
      </c>
      <c r="E280" s="472">
        <v>3</v>
      </c>
      <c r="F280" s="472">
        <v>17</v>
      </c>
      <c r="G280" s="472">
        <v>1</v>
      </c>
      <c r="H280" s="472">
        <f t="shared" si="52"/>
        <v>17</v>
      </c>
      <c r="I280" s="472">
        <f>E280*H280</f>
        <v>51</v>
      </c>
      <c r="J280" s="473">
        <v>1</v>
      </c>
      <c r="K280" s="474" t="s">
        <v>518</v>
      </c>
      <c r="L280" s="346" t="s">
        <v>1156</v>
      </c>
      <c r="M280" s="570"/>
    </row>
    <row r="281" spans="1:13" s="571" customFormat="1" ht="36">
      <c r="A281" s="332">
        <f t="shared" si="53"/>
        <v>4</v>
      </c>
      <c r="B281" s="470" t="s">
        <v>508</v>
      </c>
      <c r="C281" s="471" t="s">
        <v>1149</v>
      </c>
      <c r="D281" s="344" t="s">
        <v>513</v>
      </c>
      <c r="E281" s="472">
        <v>3</v>
      </c>
      <c r="F281" s="472">
        <v>17</v>
      </c>
      <c r="G281" s="472">
        <v>1</v>
      </c>
      <c r="H281" s="472">
        <f t="shared" si="52"/>
        <v>17</v>
      </c>
      <c r="I281" s="472">
        <f>E281*H281</f>
        <v>51</v>
      </c>
      <c r="J281" s="473">
        <v>1</v>
      </c>
      <c r="K281" s="474" t="s">
        <v>516</v>
      </c>
      <c r="L281" s="346" t="s">
        <v>1157</v>
      </c>
      <c r="M281" s="570"/>
    </row>
    <row r="282" spans="1:13" s="571" customFormat="1" ht="36">
      <c r="A282" s="332">
        <f>1+A281</f>
        <v>5</v>
      </c>
      <c r="B282" s="470" t="s">
        <v>509</v>
      </c>
      <c r="C282" s="471" t="s">
        <v>1150</v>
      </c>
      <c r="D282" s="344" t="s">
        <v>513</v>
      </c>
      <c r="E282" s="472">
        <v>3</v>
      </c>
      <c r="F282" s="472">
        <v>17</v>
      </c>
      <c r="G282" s="472">
        <v>1</v>
      </c>
      <c r="H282" s="472">
        <f t="shared" si="52"/>
        <v>17</v>
      </c>
      <c r="I282" s="472">
        <f>E282*H282</f>
        <v>51</v>
      </c>
      <c r="J282" s="473">
        <v>1</v>
      </c>
      <c r="K282" s="474" t="s">
        <v>515</v>
      </c>
      <c r="L282" s="346" t="s">
        <v>1158</v>
      </c>
      <c r="M282" s="570"/>
    </row>
    <row r="283" spans="1:13" s="571" customFormat="1" ht="24">
      <c r="A283" s="332">
        <f t="shared" si="53"/>
        <v>6</v>
      </c>
      <c r="B283" s="470" t="s">
        <v>510</v>
      </c>
      <c r="C283" s="471" t="s">
        <v>1151</v>
      </c>
      <c r="D283" s="344" t="s">
        <v>513</v>
      </c>
      <c r="E283" s="472">
        <v>3</v>
      </c>
      <c r="F283" s="472">
        <v>17</v>
      </c>
      <c r="G283" s="472">
        <v>1</v>
      </c>
      <c r="H283" s="472">
        <f t="shared" si="52"/>
        <v>17</v>
      </c>
      <c r="I283" s="472">
        <f t="shared" ref="I283:I285" si="54">E283*H283</f>
        <v>51</v>
      </c>
      <c r="J283" s="473">
        <v>1</v>
      </c>
      <c r="K283" s="474" t="s">
        <v>519</v>
      </c>
      <c r="L283" s="346" t="s">
        <v>1159</v>
      </c>
      <c r="M283" s="570"/>
    </row>
    <row r="284" spans="1:13" s="571" customFormat="1" ht="24">
      <c r="A284" s="332">
        <f t="shared" si="53"/>
        <v>7</v>
      </c>
      <c r="B284" s="470" t="s">
        <v>511</v>
      </c>
      <c r="C284" s="471" t="s">
        <v>1152</v>
      </c>
      <c r="D284" s="344" t="s">
        <v>513</v>
      </c>
      <c r="E284" s="472">
        <v>3</v>
      </c>
      <c r="F284" s="472">
        <v>17</v>
      </c>
      <c r="G284" s="472">
        <v>1</v>
      </c>
      <c r="H284" s="472">
        <f t="shared" si="52"/>
        <v>17</v>
      </c>
      <c r="I284" s="472">
        <f t="shared" si="54"/>
        <v>51</v>
      </c>
      <c r="J284" s="473">
        <v>1</v>
      </c>
      <c r="K284" s="474" t="s">
        <v>521</v>
      </c>
      <c r="L284" s="346" t="s">
        <v>1160</v>
      </c>
      <c r="M284" s="570"/>
    </row>
    <row r="285" spans="1:13" s="571" customFormat="1" ht="24">
      <c r="A285" s="332">
        <f>1+A284</f>
        <v>8</v>
      </c>
      <c r="B285" s="470" t="s">
        <v>512</v>
      </c>
      <c r="C285" s="471" t="s">
        <v>1153</v>
      </c>
      <c r="D285" s="344" t="s">
        <v>513</v>
      </c>
      <c r="E285" s="472">
        <v>3</v>
      </c>
      <c r="F285" s="472">
        <v>17</v>
      </c>
      <c r="G285" s="472">
        <v>1</v>
      </c>
      <c r="H285" s="472">
        <f t="shared" si="52"/>
        <v>17</v>
      </c>
      <c r="I285" s="472">
        <f t="shared" si="54"/>
        <v>51</v>
      </c>
      <c r="J285" s="473">
        <v>1</v>
      </c>
      <c r="K285" s="474" t="s">
        <v>520</v>
      </c>
      <c r="L285" s="346" t="s">
        <v>1161</v>
      </c>
      <c r="M285" s="570"/>
    </row>
    <row r="286" spans="1:13" s="571" customFormat="1">
      <c r="A286" s="840"/>
      <c r="B286" s="841" t="s">
        <v>1287</v>
      </c>
      <c r="C286" s="842"/>
      <c r="D286" s="840"/>
      <c r="E286" s="840"/>
      <c r="F286" s="840"/>
      <c r="G286" s="840">
        <f>SUM(G278:G285)</f>
        <v>8</v>
      </c>
      <c r="H286" s="840">
        <f t="shared" ref="H286:J286" si="55">SUM(H278:H285)</f>
        <v>136</v>
      </c>
      <c r="I286" s="840">
        <f t="shared" si="55"/>
        <v>408</v>
      </c>
      <c r="J286" s="843">
        <f t="shared" si="55"/>
        <v>8</v>
      </c>
      <c r="K286" s="840"/>
      <c r="L286" s="840"/>
      <c r="M286" s="570"/>
    </row>
    <row r="287" spans="1:13" ht="20.25">
      <c r="A287" s="363" t="s">
        <v>84</v>
      </c>
      <c r="B287" s="363"/>
      <c r="C287" s="363"/>
      <c r="D287" s="363"/>
      <c r="E287" s="363"/>
      <c r="F287" s="363"/>
      <c r="G287" s="363"/>
      <c r="H287" s="363"/>
      <c r="I287" s="363"/>
      <c r="J287" s="363"/>
      <c r="K287" s="364"/>
      <c r="L287" s="363"/>
    </row>
    <row r="288" spans="1:13" s="575" customFormat="1" ht="22.5">
      <c r="A288" s="475">
        <v>1</v>
      </c>
      <c r="B288" s="476" t="s">
        <v>197</v>
      </c>
      <c r="C288" s="477" t="s">
        <v>651</v>
      </c>
      <c r="D288" s="353" t="s">
        <v>652</v>
      </c>
      <c r="E288" s="476">
        <v>4</v>
      </c>
      <c r="F288" s="478">
        <f>31</f>
        <v>31</v>
      </c>
      <c r="G288" s="476">
        <v>4</v>
      </c>
      <c r="H288" s="476">
        <v>123</v>
      </c>
      <c r="I288" s="476">
        <v>492</v>
      </c>
      <c r="J288" s="476">
        <v>7</v>
      </c>
      <c r="K288" s="479" t="s">
        <v>411</v>
      </c>
      <c r="L288" s="480" t="s">
        <v>958</v>
      </c>
      <c r="M288" s="574"/>
    </row>
    <row r="289" spans="1:13" s="575" customFormat="1" ht="67.5">
      <c r="A289" s="475">
        <f>A288+1</f>
        <v>2</v>
      </c>
      <c r="B289" s="476" t="s">
        <v>398</v>
      </c>
      <c r="C289" s="477" t="s">
        <v>653</v>
      </c>
      <c r="D289" s="353" t="s">
        <v>654</v>
      </c>
      <c r="E289" s="476">
        <v>1</v>
      </c>
      <c r="F289" s="476">
        <v>40</v>
      </c>
      <c r="G289" s="476">
        <v>6</v>
      </c>
      <c r="H289" s="476">
        <v>240</v>
      </c>
      <c r="I289" s="476">
        <v>240</v>
      </c>
      <c r="J289" s="476">
        <v>3</v>
      </c>
      <c r="K289" s="479" t="s">
        <v>306</v>
      </c>
      <c r="L289" s="480" t="s">
        <v>959</v>
      </c>
      <c r="M289" s="574"/>
    </row>
    <row r="290" spans="1:13" s="575" customFormat="1" ht="24">
      <c r="A290" s="475">
        <f t="shared" ref="A290:A296" si="56">A289+1</f>
        <v>3</v>
      </c>
      <c r="B290" s="476" t="s">
        <v>399</v>
      </c>
      <c r="C290" s="477" t="s">
        <v>655</v>
      </c>
      <c r="D290" s="353" t="s">
        <v>656</v>
      </c>
      <c r="E290" s="476">
        <v>2</v>
      </c>
      <c r="F290" s="476">
        <v>42</v>
      </c>
      <c r="G290" s="476">
        <v>92</v>
      </c>
      <c r="H290" s="476">
        <v>3864</v>
      </c>
      <c r="I290" s="476">
        <v>7728</v>
      </c>
      <c r="J290" s="476">
        <v>138</v>
      </c>
      <c r="K290" s="481" t="s">
        <v>657</v>
      </c>
      <c r="L290" s="482" t="s">
        <v>960</v>
      </c>
      <c r="M290" s="574"/>
    </row>
    <row r="291" spans="1:13" s="575" customFormat="1" ht="48">
      <c r="A291" s="475">
        <f t="shared" si="56"/>
        <v>4</v>
      </c>
      <c r="B291" s="483" t="s">
        <v>225</v>
      </c>
      <c r="C291" s="484" t="s">
        <v>658</v>
      </c>
      <c r="D291" s="353" t="s">
        <v>659</v>
      </c>
      <c r="E291" s="483">
        <v>1</v>
      </c>
      <c r="F291" s="483">
        <v>30</v>
      </c>
      <c r="G291" s="483">
        <v>3</v>
      </c>
      <c r="H291" s="483">
        <v>90</v>
      </c>
      <c r="I291" s="483">
        <v>90</v>
      </c>
      <c r="J291" s="483">
        <v>2.2799999999999998</v>
      </c>
      <c r="K291" s="485" t="s">
        <v>411</v>
      </c>
      <c r="L291" s="486" t="s">
        <v>961</v>
      </c>
      <c r="M291" s="574"/>
    </row>
    <row r="292" spans="1:13" s="575" customFormat="1">
      <c r="A292" s="475">
        <f t="shared" si="56"/>
        <v>5</v>
      </c>
      <c r="B292" s="483" t="s">
        <v>660</v>
      </c>
      <c r="C292" s="477" t="s">
        <v>661</v>
      </c>
      <c r="D292" s="353" t="s">
        <v>662</v>
      </c>
      <c r="E292" s="476">
        <v>2</v>
      </c>
      <c r="F292" s="483">
        <v>23</v>
      </c>
      <c r="G292" s="476">
        <v>2</v>
      </c>
      <c r="H292" s="476">
        <v>46</v>
      </c>
      <c r="I292" s="476">
        <v>92</v>
      </c>
      <c r="J292" s="476">
        <v>1.08</v>
      </c>
      <c r="K292" s="485" t="s">
        <v>306</v>
      </c>
      <c r="L292" s="480" t="s">
        <v>962</v>
      </c>
      <c r="M292" s="574"/>
    </row>
    <row r="293" spans="1:13" s="575" customFormat="1" ht="24">
      <c r="A293" s="475">
        <f t="shared" si="56"/>
        <v>6</v>
      </c>
      <c r="B293" s="483" t="s">
        <v>663</v>
      </c>
      <c r="C293" s="477" t="s">
        <v>664</v>
      </c>
      <c r="D293" s="353" t="s">
        <v>665</v>
      </c>
      <c r="E293" s="476">
        <v>2</v>
      </c>
      <c r="F293" s="483">
        <v>30</v>
      </c>
      <c r="G293" s="476">
        <v>6</v>
      </c>
      <c r="H293" s="476">
        <v>180</v>
      </c>
      <c r="I293" s="476">
        <v>360</v>
      </c>
      <c r="J293" s="476">
        <v>4.9000000000000004</v>
      </c>
      <c r="K293" s="485" t="s">
        <v>306</v>
      </c>
      <c r="L293" s="486" t="s">
        <v>963</v>
      </c>
      <c r="M293" s="574"/>
    </row>
    <row r="294" spans="1:13" s="575" customFormat="1" ht="24">
      <c r="A294" s="475">
        <f t="shared" si="56"/>
        <v>7</v>
      </c>
      <c r="B294" s="487" t="s">
        <v>666</v>
      </c>
      <c r="C294" s="488" t="s">
        <v>667</v>
      </c>
      <c r="D294" s="353" t="s">
        <v>668</v>
      </c>
      <c r="E294" s="489">
        <v>2</v>
      </c>
      <c r="F294" s="489">
        <v>34</v>
      </c>
      <c r="G294" s="490">
        <v>3</v>
      </c>
      <c r="H294" s="490">
        <v>102</v>
      </c>
      <c r="I294" s="490">
        <v>204</v>
      </c>
      <c r="J294" s="490">
        <v>4</v>
      </c>
      <c r="K294" s="491" t="s">
        <v>306</v>
      </c>
      <c r="L294" s="492" t="s">
        <v>964</v>
      </c>
      <c r="M294" s="574"/>
    </row>
    <row r="295" spans="1:13" s="571" customFormat="1" ht="45">
      <c r="A295" s="475">
        <f t="shared" si="56"/>
        <v>8</v>
      </c>
      <c r="B295" s="489" t="s">
        <v>669</v>
      </c>
      <c r="C295" s="488" t="s">
        <v>670</v>
      </c>
      <c r="D295" s="353" t="s">
        <v>671</v>
      </c>
      <c r="E295" s="489" t="s">
        <v>672</v>
      </c>
      <c r="F295" s="489" t="s">
        <v>673</v>
      </c>
      <c r="G295" s="489" t="s">
        <v>674</v>
      </c>
      <c r="H295" s="489" t="s">
        <v>675</v>
      </c>
      <c r="I295" s="489" t="s">
        <v>675</v>
      </c>
      <c r="J295" s="489" t="s">
        <v>676</v>
      </c>
      <c r="K295" s="493" t="s">
        <v>306</v>
      </c>
      <c r="L295" s="492" t="s">
        <v>965</v>
      </c>
      <c r="M295" s="570"/>
    </row>
    <row r="296" spans="1:13" s="571" customFormat="1" ht="24">
      <c r="A296" s="475">
        <f t="shared" si="56"/>
        <v>9</v>
      </c>
      <c r="B296" s="489" t="s">
        <v>677</v>
      </c>
      <c r="C296" s="488" t="s">
        <v>678</v>
      </c>
      <c r="D296" s="353" t="s">
        <v>679</v>
      </c>
      <c r="E296" s="489" t="s">
        <v>672</v>
      </c>
      <c r="F296" s="489" t="s">
        <v>680</v>
      </c>
      <c r="G296" s="489" t="s">
        <v>681</v>
      </c>
      <c r="H296" s="489" t="s">
        <v>682</v>
      </c>
      <c r="I296" s="489" t="s">
        <v>682</v>
      </c>
      <c r="J296" s="489" t="s">
        <v>683</v>
      </c>
      <c r="K296" s="493" t="s">
        <v>306</v>
      </c>
      <c r="L296" s="493" t="s">
        <v>966</v>
      </c>
      <c r="M296" s="570"/>
    </row>
    <row r="297" spans="1:13">
      <c r="A297" s="494"/>
      <c r="B297" s="494"/>
      <c r="C297" s="398" t="s">
        <v>1504</v>
      </c>
      <c r="D297" s="495"/>
      <c r="E297" s="398"/>
      <c r="F297" s="398"/>
      <c r="G297" s="398">
        <f>SUM(G288:G296)</f>
        <v>116</v>
      </c>
      <c r="H297" s="398">
        <f t="shared" ref="H297:J297" si="57">SUM(H288:H296)</f>
        <v>4645</v>
      </c>
      <c r="I297" s="398">
        <f t="shared" si="57"/>
        <v>9206</v>
      </c>
      <c r="J297" s="399">
        <f t="shared" si="57"/>
        <v>160.26000000000002</v>
      </c>
      <c r="K297" s="495"/>
      <c r="L297" s="398"/>
    </row>
    <row r="298" spans="1:13" ht="20.25">
      <c r="A298" s="363" t="s">
        <v>28</v>
      </c>
      <c r="B298" s="363"/>
      <c r="C298" s="363"/>
      <c r="D298" s="363"/>
      <c r="E298" s="363"/>
      <c r="F298" s="363"/>
      <c r="G298" s="363"/>
      <c r="H298" s="363"/>
      <c r="I298" s="363"/>
      <c r="J298" s="363"/>
      <c r="K298" s="364"/>
      <c r="L298" s="363"/>
    </row>
    <row r="299" spans="1:13" s="571" customFormat="1">
      <c r="A299" s="332">
        <v>1</v>
      </c>
      <c r="B299" s="332"/>
      <c r="C299" s="343" t="s">
        <v>357</v>
      </c>
      <c r="D299" s="344" t="s">
        <v>30</v>
      </c>
      <c r="E299" s="332">
        <v>3</v>
      </c>
      <c r="F299" s="332">
        <v>15</v>
      </c>
      <c r="G299" s="332">
        <v>7</v>
      </c>
      <c r="H299" s="332">
        <v>105</v>
      </c>
      <c r="I299" s="332">
        <v>315</v>
      </c>
      <c r="J299" s="345">
        <v>2.2999999999999998</v>
      </c>
      <c r="K299" s="343" t="s">
        <v>954</v>
      </c>
      <c r="L299" s="343"/>
      <c r="M299" s="570"/>
    </row>
    <row r="300" spans="1:13" s="571" customFormat="1" ht="15" customHeight="1">
      <c r="A300" s="332">
        <f>A299+1</f>
        <v>2</v>
      </c>
      <c r="B300" s="332"/>
      <c r="C300" s="343" t="s">
        <v>581</v>
      </c>
      <c r="D300" s="344" t="s">
        <v>30</v>
      </c>
      <c r="E300" s="332">
        <v>2</v>
      </c>
      <c r="F300" s="332">
        <v>15</v>
      </c>
      <c r="G300" s="332">
        <v>5</v>
      </c>
      <c r="H300" s="332">
        <v>75</v>
      </c>
      <c r="I300" s="332">
        <v>150</v>
      </c>
      <c r="J300" s="345">
        <v>1.1599999999999999</v>
      </c>
      <c r="K300" s="343" t="s">
        <v>954</v>
      </c>
      <c r="L300" s="343"/>
      <c r="M300" s="570"/>
    </row>
    <row r="301" spans="1:13" s="571" customFormat="1">
      <c r="A301" s="332">
        <f t="shared" ref="A301:A307" si="58">A300+1</f>
        <v>3</v>
      </c>
      <c r="B301" s="332"/>
      <c r="C301" s="343" t="s">
        <v>358</v>
      </c>
      <c r="D301" s="344" t="s">
        <v>30</v>
      </c>
      <c r="E301" s="332">
        <v>1</v>
      </c>
      <c r="F301" s="332">
        <v>15</v>
      </c>
      <c r="G301" s="332">
        <v>6</v>
      </c>
      <c r="H301" s="332">
        <v>90</v>
      </c>
      <c r="I301" s="332">
        <v>90</v>
      </c>
      <c r="J301" s="345">
        <v>0.85</v>
      </c>
      <c r="K301" s="343" t="s">
        <v>954</v>
      </c>
      <c r="L301" s="496"/>
      <c r="M301" s="570"/>
    </row>
    <row r="302" spans="1:13" s="571" customFormat="1">
      <c r="A302" s="332">
        <f t="shared" si="58"/>
        <v>4</v>
      </c>
      <c r="B302" s="332"/>
      <c r="C302" s="343" t="s">
        <v>582</v>
      </c>
      <c r="D302" s="344" t="s">
        <v>30</v>
      </c>
      <c r="E302" s="332">
        <v>2</v>
      </c>
      <c r="F302" s="332">
        <v>15</v>
      </c>
      <c r="G302" s="332">
        <v>9</v>
      </c>
      <c r="H302" s="332">
        <v>135</v>
      </c>
      <c r="I302" s="332">
        <v>270</v>
      </c>
      <c r="J302" s="345">
        <v>2.21</v>
      </c>
      <c r="K302" s="343" t="s">
        <v>954</v>
      </c>
      <c r="L302" s="496"/>
      <c r="M302" s="570"/>
    </row>
    <row r="303" spans="1:13" s="571" customFormat="1">
      <c r="A303" s="332">
        <f t="shared" si="58"/>
        <v>5</v>
      </c>
      <c r="B303" s="332"/>
      <c r="C303" s="343" t="s">
        <v>359</v>
      </c>
      <c r="D303" s="344" t="s">
        <v>30</v>
      </c>
      <c r="E303" s="332">
        <v>5</v>
      </c>
      <c r="F303" s="332">
        <v>15</v>
      </c>
      <c r="G303" s="332">
        <v>33</v>
      </c>
      <c r="H303" s="332">
        <v>495</v>
      </c>
      <c r="I303" s="332">
        <v>2475</v>
      </c>
      <c r="J303" s="345">
        <v>21.29</v>
      </c>
      <c r="K303" s="343" t="s">
        <v>954</v>
      </c>
      <c r="L303" s="496"/>
      <c r="M303" s="570"/>
    </row>
    <row r="304" spans="1:13" s="571" customFormat="1">
      <c r="A304" s="332">
        <f t="shared" si="58"/>
        <v>6</v>
      </c>
      <c r="B304" s="332"/>
      <c r="C304" s="343" t="s">
        <v>361</v>
      </c>
      <c r="D304" s="344" t="s">
        <v>585</v>
      </c>
      <c r="E304" s="332">
        <v>2</v>
      </c>
      <c r="F304" s="332">
        <v>20</v>
      </c>
      <c r="G304" s="332">
        <v>37</v>
      </c>
      <c r="H304" s="332">
        <v>740</v>
      </c>
      <c r="I304" s="332">
        <v>1480</v>
      </c>
      <c r="J304" s="345">
        <v>11.28</v>
      </c>
      <c r="K304" s="343" t="s">
        <v>954</v>
      </c>
      <c r="L304" s="496"/>
      <c r="M304" s="570"/>
    </row>
    <row r="305" spans="1:13" s="571" customFormat="1">
      <c r="A305" s="332">
        <f t="shared" si="58"/>
        <v>7</v>
      </c>
      <c r="B305" s="332"/>
      <c r="C305" s="343" t="s">
        <v>360</v>
      </c>
      <c r="D305" s="344" t="s">
        <v>1205</v>
      </c>
      <c r="E305" s="332">
        <v>4</v>
      </c>
      <c r="F305" s="332">
        <v>5</v>
      </c>
      <c r="G305" s="332">
        <v>17</v>
      </c>
      <c r="H305" s="332">
        <v>85</v>
      </c>
      <c r="I305" s="332">
        <v>340</v>
      </c>
      <c r="J305" s="345">
        <v>3.66</v>
      </c>
      <c r="K305" s="343" t="s">
        <v>954</v>
      </c>
      <c r="L305" s="496"/>
      <c r="M305" s="570"/>
    </row>
    <row r="306" spans="1:13" s="571" customFormat="1">
      <c r="A306" s="332">
        <f t="shared" si="58"/>
        <v>8</v>
      </c>
      <c r="B306" s="332"/>
      <c r="C306" s="343" t="s">
        <v>361</v>
      </c>
      <c r="D306" s="344" t="s">
        <v>1205</v>
      </c>
      <c r="E306" s="332">
        <v>2</v>
      </c>
      <c r="F306" s="332">
        <v>5</v>
      </c>
      <c r="G306" s="332">
        <v>18</v>
      </c>
      <c r="H306" s="332">
        <v>90</v>
      </c>
      <c r="I306" s="332">
        <v>180</v>
      </c>
      <c r="J306" s="345">
        <v>2.35</v>
      </c>
      <c r="K306" s="343" t="s">
        <v>954</v>
      </c>
      <c r="L306" s="496"/>
      <c r="M306" s="570"/>
    </row>
    <row r="307" spans="1:13" s="571" customFormat="1">
      <c r="A307" s="332">
        <f t="shared" si="58"/>
        <v>9</v>
      </c>
      <c r="B307" s="332"/>
      <c r="C307" s="343" t="s">
        <v>584</v>
      </c>
      <c r="D307" s="344" t="s">
        <v>1205</v>
      </c>
      <c r="E307" s="332">
        <v>1</v>
      </c>
      <c r="F307" s="332">
        <v>5</v>
      </c>
      <c r="G307" s="332">
        <v>15</v>
      </c>
      <c r="H307" s="332">
        <v>75</v>
      </c>
      <c r="I307" s="332">
        <v>75</v>
      </c>
      <c r="J307" s="345">
        <v>1.32</v>
      </c>
      <c r="K307" s="343" t="s">
        <v>954</v>
      </c>
      <c r="L307" s="496"/>
      <c r="M307" s="570"/>
    </row>
    <row r="308" spans="1:13" s="571" customFormat="1">
      <c r="A308" s="844"/>
      <c r="B308" s="844"/>
      <c r="C308" s="844" t="s">
        <v>1505</v>
      </c>
      <c r="D308" s="845"/>
      <c r="E308" s="845"/>
      <c r="F308" s="845"/>
      <c r="G308" s="845">
        <f>SUM(G299:G307)</f>
        <v>147</v>
      </c>
      <c r="H308" s="845">
        <f t="shared" ref="H308:J308" si="59">SUM(H299:H307)</f>
        <v>1890</v>
      </c>
      <c r="I308" s="845">
        <f t="shared" si="59"/>
        <v>5375</v>
      </c>
      <c r="J308" s="846">
        <f t="shared" si="59"/>
        <v>46.42</v>
      </c>
      <c r="K308" s="847"/>
      <c r="L308" s="845"/>
      <c r="M308" s="570"/>
    </row>
    <row r="309" spans="1:13" ht="20.25">
      <c r="A309" s="363" t="s">
        <v>21</v>
      </c>
      <c r="B309" s="363"/>
      <c r="C309" s="363"/>
      <c r="D309" s="363"/>
      <c r="E309" s="363"/>
      <c r="F309" s="363"/>
      <c r="G309" s="363"/>
      <c r="H309" s="363"/>
      <c r="I309" s="363"/>
      <c r="J309" s="363"/>
      <c r="K309" s="364"/>
      <c r="L309" s="363"/>
    </row>
    <row r="310" spans="1:13">
      <c r="A310" s="428"/>
      <c r="B310" s="497" t="s">
        <v>85</v>
      </c>
      <c r="C310" s="430"/>
      <c r="D310" s="430"/>
      <c r="E310" s="430"/>
      <c r="F310" s="430"/>
      <c r="G310" s="430"/>
      <c r="H310" s="430"/>
      <c r="I310" s="430"/>
      <c r="J310" s="430"/>
      <c r="K310" s="431"/>
      <c r="L310" s="430"/>
    </row>
    <row r="311" spans="1:13" s="571" customFormat="1" ht="36">
      <c r="A311" s="498">
        <v>1</v>
      </c>
      <c r="B311" s="499">
        <v>11</v>
      </c>
      <c r="C311" s="359" t="s">
        <v>86</v>
      </c>
      <c r="D311" s="344" t="s">
        <v>235</v>
      </c>
      <c r="E311" s="356">
        <v>1</v>
      </c>
      <c r="F311" s="500" t="s">
        <v>587</v>
      </c>
      <c r="G311" s="356">
        <v>20</v>
      </c>
      <c r="H311" s="356">
        <v>1000</v>
      </c>
      <c r="I311" s="356">
        <f>H311*E311</f>
        <v>1000</v>
      </c>
      <c r="J311" s="357">
        <v>5</v>
      </c>
      <c r="K311" s="501" t="s">
        <v>236</v>
      </c>
      <c r="L311" s="502" t="s">
        <v>967</v>
      </c>
      <c r="M311" s="570"/>
    </row>
    <row r="312" spans="1:13" s="571" customFormat="1" ht="36">
      <c r="A312" s="498">
        <v>2</v>
      </c>
      <c r="B312" s="499">
        <v>17</v>
      </c>
      <c r="C312" s="355" t="s">
        <v>87</v>
      </c>
      <c r="D312" s="344" t="s">
        <v>588</v>
      </c>
      <c r="E312" s="356">
        <v>1</v>
      </c>
      <c r="F312" s="356">
        <v>30</v>
      </c>
      <c r="G312" s="356">
        <v>70</v>
      </c>
      <c r="H312" s="356">
        <f>F312*G312</f>
        <v>2100</v>
      </c>
      <c r="I312" s="356">
        <f t="shared" ref="I312:I343" si="60">H312*E312</f>
        <v>2100</v>
      </c>
      <c r="J312" s="357">
        <v>12.5</v>
      </c>
      <c r="K312" s="501" t="s">
        <v>135</v>
      </c>
      <c r="L312" s="502" t="s">
        <v>967</v>
      </c>
      <c r="M312" s="570"/>
    </row>
    <row r="313" spans="1:13" s="571" customFormat="1" ht="48">
      <c r="A313" s="498">
        <v>3</v>
      </c>
      <c r="B313" s="499">
        <v>18</v>
      </c>
      <c r="C313" s="355" t="s">
        <v>237</v>
      </c>
      <c r="D313" s="344" t="s">
        <v>589</v>
      </c>
      <c r="E313" s="356">
        <v>1</v>
      </c>
      <c r="F313" s="356">
        <v>30</v>
      </c>
      <c r="G313" s="356">
        <v>12</v>
      </c>
      <c r="H313" s="356">
        <f>F313*G313</f>
        <v>360</v>
      </c>
      <c r="I313" s="356">
        <f t="shared" si="60"/>
        <v>360</v>
      </c>
      <c r="J313" s="357">
        <v>6.5</v>
      </c>
      <c r="K313" s="501" t="s">
        <v>238</v>
      </c>
      <c r="L313" s="502" t="s">
        <v>590</v>
      </c>
      <c r="M313" s="570"/>
    </row>
    <row r="314" spans="1:13" s="571" customFormat="1" ht="45">
      <c r="A314" s="503">
        <v>4</v>
      </c>
      <c r="B314" s="354" t="s">
        <v>591</v>
      </c>
      <c r="C314" s="355" t="s">
        <v>239</v>
      </c>
      <c r="D314" s="344" t="s">
        <v>240</v>
      </c>
      <c r="E314" s="356">
        <v>1</v>
      </c>
      <c r="F314" s="356">
        <v>40</v>
      </c>
      <c r="G314" s="356">
        <v>12</v>
      </c>
      <c r="H314" s="356">
        <f>F314*G314</f>
        <v>480</v>
      </c>
      <c r="I314" s="356">
        <f t="shared" si="60"/>
        <v>480</v>
      </c>
      <c r="J314" s="357">
        <v>8</v>
      </c>
      <c r="K314" s="501" t="s">
        <v>135</v>
      </c>
      <c r="L314" s="360" t="s">
        <v>592</v>
      </c>
      <c r="M314" s="570"/>
    </row>
    <row r="315" spans="1:13" s="569" customFormat="1">
      <c r="A315" s="504"/>
      <c r="B315" s="858" t="s">
        <v>209</v>
      </c>
      <c r="C315" s="858"/>
      <c r="D315" s="505"/>
      <c r="E315" s="506"/>
      <c r="F315" s="506"/>
      <c r="G315" s="507">
        <f t="shared" ref="G315:I315" si="61">SUM(G311:G314)</f>
        <v>114</v>
      </c>
      <c r="H315" s="507">
        <f t="shared" si="61"/>
        <v>3940</v>
      </c>
      <c r="I315" s="507">
        <f t="shared" si="61"/>
        <v>3940</v>
      </c>
      <c r="J315" s="508">
        <f>SUM(J311:J314)</f>
        <v>32</v>
      </c>
      <c r="K315" s="509"/>
      <c r="L315" s="510"/>
      <c r="M315" s="568"/>
    </row>
    <row r="316" spans="1:13">
      <c r="A316" s="511"/>
      <c r="B316" s="512" t="s">
        <v>644</v>
      </c>
      <c r="D316" s="344"/>
      <c r="E316" s="513"/>
      <c r="F316" s="514"/>
      <c r="G316" s="514"/>
      <c r="H316" s="514"/>
      <c r="I316" s="514"/>
      <c r="J316" s="515"/>
      <c r="K316" s="516"/>
      <c r="L316" s="517"/>
    </row>
    <row r="317" spans="1:13" s="571" customFormat="1" ht="36">
      <c r="A317" s="503">
        <v>5</v>
      </c>
      <c r="B317" s="354"/>
      <c r="C317" s="355" t="s">
        <v>241</v>
      </c>
      <c r="D317" s="344" t="s">
        <v>242</v>
      </c>
      <c r="E317" s="356">
        <v>3</v>
      </c>
      <c r="F317" s="356">
        <v>20</v>
      </c>
      <c r="G317" s="356">
        <v>1</v>
      </c>
      <c r="H317" s="356">
        <f t="shared" ref="H317:H323" si="62">F317*G317</f>
        <v>20</v>
      </c>
      <c r="I317" s="356">
        <f t="shared" si="60"/>
        <v>60</v>
      </c>
      <c r="J317" s="357">
        <v>1.5</v>
      </c>
      <c r="K317" s="358" t="s">
        <v>593</v>
      </c>
      <c r="L317" s="360"/>
      <c r="M317" s="570"/>
    </row>
    <row r="318" spans="1:13" s="571" customFormat="1" ht="48">
      <c r="A318" s="503">
        <v>6</v>
      </c>
      <c r="B318" s="354">
        <v>21</v>
      </c>
      <c r="C318" s="359" t="s">
        <v>243</v>
      </c>
      <c r="D318" s="344" t="s">
        <v>244</v>
      </c>
      <c r="E318" s="356">
        <v>2</v>
      </c>
      <c r="F318" s="356">
        <v>25</v>
      </c>
      <c r="G318" s="356">
        <v>3</v>
      </c>
      <c r="H318" s="356">
        <f t="shared" si="62"/>
        <v>75</v>
      </c>
      <c r="I318" s="356">
        <f>H318*E318</f>
        <v>150</v>
      </c>
      <c r="J318" s="357">
        <v>2.25</v>
      </c>
      <c r="K318" s="358" t="s">
        <v>594</v>
      </c>
      <c r="L318" s="360"/>
      <c r="M318" s="570"/>
    </row>
    <row r="319" spans="1:13" s="571" customFormat="1" ht="96">
      <c r="A319" s="503">
        <v>7</v>
      </c>
      <c r="B319" s="354">
        <v>25</v>
      </c>
      <c r="C319" s="355" t="s">
        <v>88</v>
      </c>
      <c r="D319" s="344" t="s">
        <v>595</v>
      </c>
      <c r="E319" s="356">
        <v>1</v>
      </c>
      <c r="F319" s="356">
        <v>25</v>
      </c>
      <c r="G319" s="356">
        <v>5</v>
      </c>
      <c r="H319" s="356">
        <f t="shared" si="62"/>
        <v>125</v>
      </c>
      <c r="I319" s="356">
        <f t="shared" si="60"/>
        <v>125</v>
      </c>
      <c r="J319" s="357">
        <v>4</v>
      </c>
      <c r="K319" s="358" t="s">
        <v>596</v>
      </c>
      <c r="L319" s="502" t="s">
        <v>597</v>
      </c>
      <c r="M319" s="570"/>
    </row>
    <row r="320" spans="1:13" s="571" customFormat="1" ht="48">
      <c r="A320" s="503">
        <v>8</v>
      </c>
      <c r="B320" s="354" t="s">
        <v>598</v>
      </c>
      <c r="C320" s="359" t="s">
        <v>245</v>
      </c>
      <c r="D320" s="344" t="s">
        <v>246</v>
      </c>
      <c r="E320" s="356">
        <v>3</v>
      </c>
      <c r="F320" s="356">
        <v>30</v>
      </c>
      <c r="G320" s="356">
        <v>3</v>
      </c>
      <c r="H320" s="356">
        <f t="shared" si="62"/>
        <v>90</v>
      </c>
      <c r="I320" s="356">
        <f>H320*E320</f>
        <v>270</v>
      </c>
      <c r="J320" s="357">
        <v>8</v>
      </c>
      <c r="K320" s="358" t="s">
        <v>594</v>
      </c>
      <c r="L320" s="360" t="s">
        <v>599</v>
      </c>
      <c r="M320" s="570"/>
    </row>
    <row r="321" spans="1:13" s="571" customFormat="1" ht="96">
      <c r="A321" s="503">
        <v>9</v>
      </c>
      <c r="B321" s="354">
        <v>29</v>
      </c>
      <c r="C321" s="359" t="s">
        <v>89</v>
      </c>
      <c r="D321" s="344" t="s">
        <v>600</v>
      </c>
      <c r="E321" s="356">
        <v>3</v>
      </c>
      <c r="F321" s="356">
        <v>30</v>
      </c>
      <c r="G321" s="356">
        <v>5</v>
      </c>
      <c r="H321" s="356">
        <f t="shared" si="62"/>
        <v>150</v>
      </c>
      <c r="I321" s="356">
        <f t="shared" si="60"/>
        <v>450</v>
      </c>
      <c r="J321" s="357">
        <v>7.7</v>
      </c>
      <c r="K321" s="358" t="s">
        <v>601</v>
      </c>
      <c r="L321" s="502" t="s">
        <v>602</v>
      </c>
      <c r="M321" s="570"/>
    </row>
    <row r="322" spans="1:13" s="571" customFormat="1" ht="24">
      <c r="A322" s="503">
        <v>10</v>
      </c>
      <c r="B322" s="354">
        <v>30</v>
      </c>
      <c r="C322" s="359" t="s">
        <v>90</v>
      </c>
      <c r="D322" s="344" t="s">
        <v>247</v>
      </c>
      <c r="E322" s="356">
        <v>1</v>
      </c>
      <c r="F322" s="356">
        <v>50</v>
      </c>
      <c r="G322" s="356">
        <v>10</v>
      </c>
      <c r="H322" s="356">
        <f t="shared" si="62"/>
        <v>500</v>
      </c>
      <c r="I322" s="356">
        <f t="shared" si="60"/>
        <v>500</v>
      </c>
      <c r="J322" s="357">
        <v>27</v>
      </c>
      <c r="K322" s="501" t="s">
        <v>236</v>
      </c>
      <c r="L322" s="360" t="s">
        <v>603</v>
      </c>
      <c r="M322" s="570"/>
    </row>
    <row r="323" spans="1:13" s="571" customFormat="1" ht="36">
      <c r="A323" s="503">
        <v>11</v>
      </c>
      <c r="B323" s="354">
        <v>31</v>
      </c>
      <c r="C323" s="355" t="s">
        <v>198</v>
      </c>
      <c r="D323" s="344" t="s">
        <v>248</v>
      </c>
      <c r="E323" s="356">
        <v>1</v>
      </c>
      <c r="F323" s="356">
        <v>21</v>
      </c>
      <c r="G323" s="356">
        <v>50</v>
      </c>
      <c r="H323" s="356">
        <f t="shared" si="62"/>
        <v>1050</v>
      </c>
      <c r="I323" s="356">
        <f t="shared" si="60"/>
        <v>1050</v>
      </c>
      <c r="J323" s="357">
        <v>3.15</v>
      </c>
      <c r="K323" s="358" t="s">
        <v>604</v>
      </c>
      <c r="L323" s="502" t="s">
        <v>605</v>
      </c>
      <c r="M323" s="570"/>
    </row>
    <row r="324" spans="1:13" ht="12.75" customHeight="1">
      <c r="A324" s="504"/>
      <c r="B324" s="858" t="s">
        <v>209</v>
      </c>
      <c r="C324" s="858"/>
      <c r="D324" s="505"/>
      <c r="E324" s="506">
        <f t="shared" ref="E324:I324" si="63">SUM(E317:E323)</f>
        <v>14</v>
      </c>
      <c r="F324" s="506">
        <f t="shared" si="63"/>
        <v>201</v>
      </c>
      <c r="G324" s="507">
        <f t="shared" si="63"/>
        <v>77</v>
      </c>
      <c r="H324" s="507">
        <f t="shared" si="63"/>
        <v>2010</v>
      </c>
      <c r="I324" s="507">
        <f t="shared" si="63"/>
        <v>2605</v>
      </c>
      <c r="J324" s="508">
        <f>SUM(J317:J323)</f>
        <v>53.6</v>
      </c>
      <c r="K324" s="509"/>
      <c r="L324" s="510"/>
    </row>
    <row r="325" spans="1:13">
      <c r="A325" s="511"/>
      <c r="B325" s="518" t="s">
        <v>645</v>
      </c>
      <c r="C325" s="519"/>
      <c r="D325" s="344"/>
      <c r="E325" s="520"/>
      <c r="F325" s="514"/>
      <c r="G325" s="514"/>
      <c r="H325" s="514"/>
      <c r="I325" s="514">
        <f t="shared" si="60"/>
        <v>0</v>
      </c>
      <c r="J325" s="515"/>
      <c r="K325" s="516"/>
      <c r="L325" s="517"/>
    </row>
    <row r="326" spans="1:13" s="571" customFormat="1" ht="48">
      <c r="A326" s="503">
        <v>12</v>
      </c>
      <c r="B326" s="354">
        <v>34</v>
      </c>
      <c r="C326" s="359" t="s">
        <v>249</v>
      </c>
      <c r="D326" s="344" t="s">
        <v>250</v>
      </c>
      <c r="E326" s="356">
        <v>2</v>
      </c>
      <c r="F326" s="356">
        <v>39</v>
      </c>
      <c r="G326" s="356">
        <v>20</v>
      </c>
      <c r="H326" s="356">
        <f t="shared" ref="H326:H331" si="64">F326*G326</f>
        <v>780</v>
      </c>
      <c r="I326" s="356">
        <f t="shared" si="60"/>
        <v>1560</v>
      </c>
      <c r="J326" s="357">
        <v>15</v>
      </c>
      <c r="K326" s="358" t="s">
        <v>606</v>
      </c>
      <c r="L326" s="360" t="s">
        <v>607</v>
      </c>
      <c r="M326" s="570"/>
    </row>
    <row r="327" spans="1:13" s="571" customFormat="1" ht="84">
      <c r="A327" s="503">
        <v>13</v>
      </c>
      <c r="B327" s="354" t="s">
        <v>608</v>
      </c>
      <c r="C327" s="359" t="s">
        <v>251</v>
      </c>
      <c r="D327" s="344" t="s">
        <v>609</v>
      </c>
      <c r="E327" s="356">
        <v>4</v>
      </c>
      <c r="F327" s="356">
        <v>24</v>
      </c>
      <c r="G327" s="356">
        <v>15</v>
      </c>
      <c r="H327" s="356">
        <f t="shared" si="64"/>
        <v>360</v>
      </c>
      <c r="I327" s="356">
        <f t="shared" si="60"/>
        <v>1440</v>
      </c>
      <c r="J327" s="357">
        <v>8.5</v>
      </c>
      <c r="K327" s="358" t="s">
        <v>610</v>
      </c>
      <c r="L327" s="360" t="s">
        <v>607</v>
      </c>
      <c r="M327" s="570"/>
    </row>
    <row r="328" spans="1:13" s="571" customFormat="1" ht="84">
      <c r="A328" s="503">
        <v>14</v>
      </c>
      <c r="B328" s="354">
        <v>39</v>
      </c>
      <c r="C328" s="359" t="s">
        <v>91</v>
      </c>
      <c r="D328" s="344" t="s">
        <v>610</v>
      </c>
      <c r="E328" s="521">
        <v>4</v>
      </c>
      <c r="F328" s="356">
        <v>26</v>
      </c>
      <c r="G328" s="356">
        <v>10</v>
      </c>
      <c r="H328" s="356">
        <f t="shared" si="64"/>
        <v>260</v>
      </c>
      <c r="I328" s="356">
        <f t="shared" si="60"/>
        <v>1040</v>
      </c>
      <c r="J328" s="357">
        <v>10</v>
      </c>
      <c r="K328" s="358" t="s">
        <v>610</v>
      </c>
      <c r="L328" s="360" t="s">
        <v>607</v>
      </c>
      <c r="M328" s="570"/>
    </row>
    <row r="329" spans="1:13" s="571" customFormat="1">
      <c r="A329" s="503">
        <v>15</v>
      </c>
      <c r="B329" s="354">
        <v>40</v>
      </c>
      <c r="C329" s="355" t="s">
        <v>92</v>
      </c>
      <c r="D329" s="344" t="s">
        <v>252</v>
      </c>
      <c r="E329" s="356">
        <v>2</v>
      </c>
      <c r="F329" s="356">
        <v>20</v>
      </c>
      <c r="G329" s="356">
        <v>1</v>
      </c>
      <c r="H329" s="356">
        <f t="shared" si="64"/>
        <v>20</v>
      </c>
      <c r="I329" s="356">
        <f t="shared" si="60"/>
        <v>40</v>
      </c>
      <c r="J329" s="357">
        <v>0.75</v>
      </c>
      <c r="K329" s="501" t="s">
        <v>611</v>
      </c>
      <c r="L329" s="360" t="s">
        <v>607</v>
      </c>
      <c r="M329" s="570"/>
    </row>
    <row r="330" spans="1:13" s="571" customFormat="1" ht="22.5">
      <c r="A330" s="503">
        <v>16</v>
      </c>
      <c r="B330" s="354">
        <v>43</v>
      </c>
      <c r="C330" s="359" t="s">
        <v>253</v>
      </c>
      <c r="D330" s="344" t="s">
        <v>612</v>
      </c>
      <c r="E330" s="356">
        <v>1</v>
      </c>
      <c r="F330" s="356">
        <v>400</v>
      </c>
      <c r="G330" s="356">
        <v>30</v>
      </c>
      <c r="H330" s="356">
        <f t="shared" si="64"/>
        <v>12000</v>
      </c>
      <c r="I330" s="356">
        <f t="shared" si="60"/>
        <v>12000</v>
      </c>
      <c r="J330" s="357">
        <v>7.8</v>
      </c>
      <c r="K330" s="501" t="s">
        <v>236</v>
      </c>
      <c r="L330" s="360" t="s">
        <v>613</v>
      </c>
      <c r="M330" s="570"/>
    </row>
    <row r="331" spans="1:13" s="571" customFormat="1" ht="22.5">
      <c r="A331" s="503">
        <v>17</v>
      </c>
      <c r="B331" s="354" t="s">
        <v>614</v>
      </c>
      <c r="C331" s="359" t="s">
        <v>254</v>
      </c>
      <c r="D331" s="344" t="s">
        <v>615</v>
      </c>
      <c r="E331" s="356">
        <v>1</v>
      </c>
      <c r="F331" s="356">
        <v>400</v>
      </c>
      <c r="G331" s="356">
        <v>50</v>
      </c>
      <c r="H331" s="356">
        <f t="shared" si="64"/>
        <v>20000</v>
      </c>
      <c r="I331" s="356">
        <f t="shared" si="60"/>
        <v>20000</v>
      </c>
      <c r="J331" s="357">
        <v>7</v>
      </c>
      <c r="K331" s="501" t="s">
        <v>236</v>
      </c>
      <c r="L331" s="360" t="s">
        <v>613</v>
      </c>
      <c r="M331" s="570"/>
    </row>
    <row r="332" spans="1:13" s="569" customFormat="1" ht="12.75" customHeight="1">
      <c r="A332" s="504"/>
      <c r="B332" s="858" t="s">
        <v>209</v>
      </c>
      <c r="C332" s="858"/>
      <c r="D332" s="505"/>
      <c r="E332" s="506"/>
      <c r="F332" s="506"/>
      <c r="G332" s="507">
        <f>SUM(G326:G331)</f>
        <v>126</v>
      </c>
      <c r="H332" s="507">
        <f t="shared" ref="H332:J332" si="65">SUM(H326:H331)</f>
        <v>33420</v>
      </c>
      <c r="I332" s="507">
        <f>SUM(I325:I331)</f>
        <v>36080</v>
      </c>
      <c r="J332" s="508">
        <f t="shared" si="65"/>
        <v>49.05</v>
      </c>
      <c r="K332" s="509"/>
      <c r="L332" s="510"/>
      <c r="M332" s="568"/>
    </row>
    <row r="333" spans="1:13">
      <c r="A333" s="511"/>
      <c r="B333" s="518" t="s">
        <v>646</v>
      </c>
      <c r="D333" s="344"/>
      <c r="E333" s="522"/>
      <c r="F333" s="514"/>
      <c r="G333" s="514"/>
      <c r="H333" s="514"/>
      <c r="I333" s="514"/>
      <c r="J333" s="515"/>
      <c r="K333" s="516"/>
      <c r="L333" s="517"/>
    </row>
    <row r="334" spans="1:13" s="575" customFormat="1" ht="84">
      <c r="A334" s="523">
        <f>A331+1</f>
        <v>18</v>
      </c>
      <c r="B334" s="524">
        <v>56</v>
      </c>
      <c r="C334" s="525" t="s">
        <v>616</v>
      </c>
      <c r="D334" s="344" t="s">
        <v>617</v>
      </c>
      <c r="E334" s="526">
        <v>2</v>
      </c>
      <c r="F334" s="526">
        <v>25</v>
      </c>
      <c r="G334" s="526">
        <v>3</v>
      </c>
      <c r="H334" s="526">
        <f>F334*G334</f>
        <v>75</v>
      </c>
      <c r="I334" s="356">
        <f t="shared" si="60"/>
        <v>150</v>
      </c>
      <c r="J334" s="527">
        <v>2.5</v>
      </c>
      <c r="K334" s="528" t="s">
        <v>618</v>
      </c>
      <c r="L334" s="529" t="s">
        <v>619</v>
      </c>
      <c r="M334" s="574"/>
    </row>
    <row r="335" spans="1:13" s="571" customFormat="1" ht="22.5">
      <c r="A335" s="503">
        <f>A334+1</f>
        <v>19</v>
      </c>
      <c r="B335" s="354">
        <v>57</v>
      </c>
      <c r="C335" s="355" t="s">
        <v>490</v>
      </c>
      <c r="D335" s="344" t="s">
        <v>620</v>
      </c>
      <c r="E335" s="356">
        <v>1</v>
      </c>
      <c r="F335" s="356">
        <v>25</v>
      </c>
      <c r="G335" s="356">
        <v>2</v>
      </c>
      <c r="H335" s="356">
        <f>F335*G335</f>
        <v>50</v>
      </c>
      <c r="I335" s="356">
        <f t="shared" si="60"/>
        <v>50</v>
      </c>
      <c r="J335" s="357">
        <v>0.5</v>
      </c>
      <c r="K335" s="501" t="s">
        <v>621</v>
      </c>
      <c r="L335" s="360" t="s">
        <v>622</v>
      </c>
      <c r="M335" s="570"/>
    </row>
    <row r="336" spans="1:13" s="571" customFormat="1" ht="24">
      <c r="A336" s="503">
        <f t="shared" ref="A336:A337" si="66">A335+1</f>
        <v>20</v>
      </c>
      <c r="B336" s="354">
        <v>59</v>
      </c>
      <c r="C336" s="359" t="s">
        <v>623</v>
      </c>
      <c r="D336" s="344" t="s">
        <v>624</v>
      </c>
      <c r="E336" s="356">
        <v>1</v>
      </c>
      <c r="F336" s="356">
        <v>25</v>
      </c>
      <c r="G336" s="356">
        <v>2</v>
      </c>
      <c r="H336" s="356">
        <f>F336*G336</f>
        <v>50</v>
      </c>
      <c r="I336" s="356">
        <f t="shared" si="60"/>
        <v>50</v>
      </c>
      <c r="J336" s="357">
        <v>0.4</v>
      </c>
      <c r="K336" s="358" t="s">
        <v>238</v>
      </c>
      <c r="L336" s="360" t="s">
        <v>592</v>
      </c>
      <c r="M336" s="570"/>
    </row>
    <row r="337" spans="1:13" s="571" customFormat="1" ht="33.75">
      <c r="A337" s="503">
        <f t="shared" si="66"/>
        <v>21</v>
      </c>
      <c r="B337" s="354">
        <v>62</v>
      </c>
      <c r="C337" s="359" t="s">
        <v>625</v>
      </c>
      <c r="D337" s="344" t="s">
        <v>626</v>
      </c>
      <c r="E337" s="356">
        <v>2</v>
      </c>
      <c r="F337" s="356">
        <v>20</v>
      </c>
      <c r="G337" s="356">
        <v>30</v>
      </c>
      <c r="H337" s="356">
        <f>F337*G337</f>
        <v>600</v>
      </c>
      <c r="I337" s="356">
        <f t="shared" si="60"/>
        <v>1200</v>
      </c>
      <c r="J337" s="357">
        <v>3</v>
      </c>
      <c r="K337" s="358" t="s">
        <v>627</v>
      </c>
      <c r="L337" s="502" t="s">
        <v>628</v>
      </c>
      <c r="M337" s="570"/>
    </row>
    <row r="338" spans="1:13" s="571" customFormat="1" ht="12.75" customHeight="1">
      <c r="A338" s="504"/>
      <c r="B338" s="858" t="s">
        <v>209</v>
      </c>
      <c r="C338" s="858"/>
      <c r="D338" s="505"/>
      <c r="E338" s="506"/>
      <c r="F338" s="506"/>
      <c r="G338" s="507">
        <f t="shared" ref="G338:I338" si="67">SUM(G334:G337)</f>
        <v>37</v>
      </c>
      <c r="H338" s="507">
        <f t="shared" si="67"/>
        <v>775</v>
      </c>
      <c r="I338" s="507">
        <f t="shared" si="67"/>
        <v>1450</v>
      </c>
      <c r="J338" s="508">
        <f>SUM(J334:J337)</f>
        <v>6.4</v>
      </c>
      <c r="K338" s="509"/>
      <c r="L338" s="510"/>
      <c r="M338" s="570"/>
    </row>
    <row r="339" spans="1:13">
      <c r="A339" s="511"/>
      <c r="B339" s="518" t="s">
        <v>647</v>
      </c>
      <c r="D339" s="344"/>
      <c r="E339" s="530"/>
      <c r="F339" s="514"/>
      <c r="G339" s="514"/>
      <c r="H339" s="514"/>
      <c r="I339" s="514"/>
      <c r="J339" s="515"/>
      <c r="K339" s="516"/>
      <c r="L339" s="517"/>
    </row>
    <row r="340" spans="1:13" s="571" customFormat="1" ht="48">
      <c r="A340" s="503">
        <f>A337+1</f>
        <v>22</v>
      </c>
      <c r="B340" s="354">
        <v>63</v>
      </c>
      <c r="C340" s="355" t="s">
        <v>94</v>
      </c>
      <c r="D340" s="344" t="s">
        <v>629</v>
      </c>
      <c r="E340" s="356">
        <v>4</v>
      </c>
      <c r="F340" s="356">
        <v>25</v>
      </c>
      <c r="G340" s="356">
        <v>13</v>
      </c>
      <c r="H340" s="356">
        <f>F340*G340</f>
        <v>325</v>
      </c>
      <c r="I340" s="356">
        <f t="shared" si="60"/>
        <v>1300</v>
      </c>
      <c r="J340" s="357">
        <v>11</v>
      </c>
      <c r="K340" s="358" t="s">
        <v>630</v>
      </c>
      <c r="L340" s="502" t="s">
        <v>631</v>
      </c>
      <c r="M340" s="570"/>
    </row>
    <row r="341" spans="1:13" s="571" customFormat="1" ht="33.75">
      <c r="A341" s="503">
        <f>A340+1</f>
        <v>23</v>
      </c>
      <c r="B341" s="354">
        <v>64</v>
      </c>
      <c r="C341" s="359" t="s">
        <v>255</v>
      </c>
      <c r="D341" s="344" t="s">
        <v>629</v>
      </c>
      <c r="E341" s="356">
        <v>15</v>
      </c>
      <c r="F341" s="356">
        <v>15</v>
      </c>
      <c r="G341" s="356">
        <v>14</v>
      </c>
      <c r="H341" s="356">
        <f>F341*G341</f>
        <v>210</v>
      </c>
      <c r="I341" s="356">
        <f>H341*E341</f>
        <v>3150</v>
      </c>
      <c r="J341" s="357">
        <v>5</v>
      </c>
      <c r="K341" s="358" t="s">
        <v>236</v>
      </c>
      <c r="L341" s="502" t="s">
        <v>628</v>
      </c>
      <c r="M341" s="570"/>
    </row>
    <row r="342" spans="1:13" s="571" customFormat="1" ht="33.75">
      <c r="A342" s="503">
        <f t="shared" ref="A342:A344" si="68">A341+1</f>
        <v>24</v>
      </c>
      <c r="B342" s="354">
        <v>65</v>
      </c>
      <c r="C342" s="359" t="s">
        <v>199</v>
      </c>
      <c r="D342" s="344" t="s">
        <v>629</v>
      </c>
      <c r="E342" s="356">
        <v>2</v>
      </c>
      <c r="F342" s="356">
        <v>30</v>
      </c>
      <c r="G342" s="356">
        <v>69</v>
      </c>
      <c r="H342" s="356">
        <f>F342*G342</f>
        <v>2070</v>
      </c>
      <c r="I342" s="356">
        <f t="shared" si="60"/>
        <v>4140</v>
      </c>
      <c r="J342" s="357">
        <v>10</v>
      </c>
      <c r="K342" s="358" t="s">
        <v>236</v>
      </c>
      <c r="L342" s="502" t="s">
        <v>613</v>
      </c>
      <c r="M342" s="570"/>
    </row>
    <row r="343" spans="1:13" s="571" customFormat="1" ht="24">
      <c r="A343" s="503">
        <f t="shared" si="68"/>
        <v>25</v>
      </c>
      <c r="B343" s="354">
        <v>66</v>
      </c>
      <c r="C343" s="355" t="s">
        <v>256</v>
      </c>
      <c r="D343" s="344" t="s">
        <v>632</v>
      </c>
      <c r="E343" s="356">
        <v>3</v>
      </c>
      <c r="F343" s="356">
        <v>25</v>
      </c>
      <c r="G343" s="356">
        <v>17</v>
      </c>
      <c r="H343" s="356">
        <f>F343*G343</f>
        <v>425</v>
      </c>
      <c r="I343" s="356">
        <f t="shared" si="60"/>
        <v>1275</v>
      </c>
      <c r="J343" s="357">
        <v>2.5</v>
      </c>
      <c r="K343" s="501" t="s">
        <v>633</v>
      </c>
      <c r="L343" s="360" t="s">
        <v>634</v>
      </c>
      <c r="M343" s="570"/>
    </row>
    <row r="344" spans="1:13" s="571" customFormat="1" ht="36">
      <c r="A344" s="503">
        <f t="shared" si="68"/>
        <v>26</v>
      </c>
      <c r="B344" s="354">
        <v>69</v>
      </c>
      <c r="C344" s="355" t="s">
        <v>635</v>
      </c>
      <c r="D344" s="344" t="s">
        <v>636</v>
      </c>
      <c r="E344" s="356">
        <v>3</v>
      </c>
      <c r="F344" s="356">
        <v>36</v>
      </c>
      <c r="G344" s="356">
        <v>14</v>
      </c>
      <c r="H344" s="356">
        <f>F344*G344</f>
        <v>504</v>
      </c>
      <c r="I344" s="356">
        <f>H344*E344</f>
        <v>1512</v>
      </c>
      <c r="J344" s="357">
        <v>2.5</v>
      </c>
      <c r="K344" s="358" t="s">
        <v>637</v>
      </c>
      <c r="L344" s="360" t="s">
        <v>634</v>
      </c>
      <c r="M344" s="570"/>
    </row>
    <row r="345" spans="1:13" s="569" customFormat="1">
      <c r="A345" s="504"/>
      <c r="B345" s="858" t="s">
        <v>209</v>
      </c>
      <c r="C345" s="858"/>
      <c r="D345" s="505"/>
      <c r="E345" s="506"/>
      <c r="F345" s="506"/>
      <c r="G345" s="507">
        <f t="shared" ref="G345:I345" si="69">SUM(G340:G344)</f>
        <v>127</v>
      </c>
      <c r="H345" s="507">
        <f t="shared" si="69"/>
        <v>3534</v>
      </c>
      <c r="I345" s="507">
        <f t="shared" si="69"/>
        <v>11377</v>
      </c>
      <c r="J345" s="508">
        <f>SUM(J340:J344)</f>
        <v>31</v>
      </c>
      <c r="K345" s="509"/>
      <c r="L345" s="510"/>
      <c r="M345" s="568"/>
    </row>
    <row r="346" spans="1:13">
      <c r="A346" s="511"/>
      <c r="B346" s="518" t="s">
        <v>648</v>
      </c>
      <c r="C346" s="530"/>
      <c r="D346" s="344"/>
      <c r="F346" s="514"/>
      <c r="G346" s="514"/>
      <c r="H346" s="514"/>
      <c r="I346" s="514"/>
      <c r="J346" s="514"/>
      <c r="K346" s="516"/>
      <c r="L346" s="517"/>
    </row>
    <row r="347" spans="1:13" s="571" customFormat="1" ht="24">
      <c r="A347" s="503">
        <f>A344+1</f>
        <v>27</v>
      </c>
      <c r="B347" s="354">
        <v>77</v>
      </c>
      <c r="C347" s="355" t="s">
        <v>258</v>
      </c>
      <c r="D347" s="344" t="s">
        <v>259</v>
      </c>
      <c r="E347" s="356">
        <v>1</v>
      </c>
      <c r="F347" s="356">
        <v>30</v>
      </c>
      <c r="G347" s="356">
        <v>13</v>
      </c>
      <c r="H347" s="356">
        <f t="shared" ref="H347:H354" si="70">F347*G347</f>
        <v>390</v>
      </c>
      <c r="I347" s="356">
        <f t="shared" ref="I347:I348" si="71">H347*E347</f>
        <v>390</v>
      </c>
      <c r="J347" s="357">
        <v>1.5</v>
      </c>
      <c r="K347" s="358" t="s">
        <v>260</v>
      </c>
      <c r="L347" s="502" t="s">
        <v>638</v>
      </c>
      <c r="M347" s="570"/>
    </row>
    <row r="348" spans="1:13" s="571" customFormat="1" ht="36">
      <c r="A348" s="503">
        <f>A347+1</f>
        <v>28</v>
      </c>
      <c r="B348" s="354">
        <v>80</v>
      </c>
      <c r="C348" s="359" t="s">
        <v>95</v>
      </c>
      <c r="D348" s="344" t="s">
        <v>26</v>
      </c>
      <c r="E348" s="356">
        <v>2</v>
      </c>
      <c r="F348" s="356">
        <v>25</v>
      </c>
      <c r="G348" s="356">
        <v>18</v>
      </c>
      <c r="H348" s="356">
        <f t="shared" si="70"/>
        <v>450</v>
      </c>
      <c r="I348" s="356">
        <f t="shared" si="71"/>
        <v>900</v>
      </c>
      <c r="J348" s="357">
        <v>4.5</v>
      </c>
      <c r="K348" s="358" t="s">
        <v>260</v>
      </c>
      <c r="L348" s="502" t="s">
        <v>967</v>
      </c>
      <c r="M348" s="570"/>
    </row>
    <row r="349" spans="1:13" s="571" customFormat="1" ht="36">
      <c r="A349" s="503">
        <f t="shared" ref="A349:A354" si="72">A348+1</f>
        <v>29</v>
      </c>
      <c r="B349" s="354">
        <v>81</v>
      </c>
      <c r="C349" s="355" t="s">
        <v>96</v>
      </c>
      <c r="D349" s="344" t="s">
        <v>261</v>
      </c>
      <c r="E349" s="356">
        <v>2</v>
      </c>
      <c r="F349" s="356">
        <v>25</v>
      </c>
      <c r="G349" s="356">
        <v>10</v>
      </c>
      <c r="H349" s="356">
        <f t="shared" si="70"/>
        <v>250</v>
      </c>
      <c r="I349" s="356">
        <f>H349*E349</f>
        <v>500</v>
      </c>
      <c r="J349" s="357">
        <v>2.5</v>
      </c>
      <c r="K349" s="358" t="s">
        <v>262</v>
      </c>
      <c r="L349" s="502" t="s">
        <v>967</v>
      </c>
      <c r="M349" s="570"/>
    </row>
    <row r="350" spans="1:13" s="571" customFormat="1" ht="36">
      <c r="A350" s="503">
        <f t="shared" si="72"/>
        <v>30</v>
      </c>
      <c r="B350" s="354">
        <v>83</v>
      </c>
      <c r="C350" s="359" t="s">
        <v>201</v>
      </c>
      <c r="D350" s="344" t="s">
        <v>97</v>
      </c>
      <c r="E350" s="356">
        <v>1</v>
      </c>
      <c r="F350" s="356">
        <v>20</v>
      </c>
      <c r="G350" s="356">
        <v>100</v>
      </c>
      <c r="H350" s="356">
        <f t="shared" si="70"/>
        <v>2000</v>
      </c>
      <c r="I350" s="356">
        <f t="shared" ref="I350:I352" si="73">H350*E350</f>
        <v>2000</v>
      </c>
      <c r="J350" s="357">
        <v>3.5</v>
      </c>
      <c r="K350" s="358" t="s">
        <v>236</v>
      </c>
      <c r="L350" s="502" t="s">
        <v>967</v>
      </c>
      <c r="M350" s="570"/>
    </row>
    <row r="351" spans="1:13" s="571" customFormat="1" ht="36">
      <c r="A351" s="503">
        <f t="shared" si="72"/>
        <v>31</v>
      </c>
      <c r="B351" s="354">
        <v>84</v>
      </c>
      <c r="C351" s="359" t="s">
        <v>98</v>
      </c>
      <c r="D351" s="344" t="s">
        <v>26</v>
      </c>
      <c r="E351" s="356">
        <v>1</v>
      </c>
      <c r="F351" s="356">
        <v>20</v>
      </c>
      <c r="G351" s="356">
        <v>10</v>
      </c>
      <c r="H351" s="356">
        <f t="shared" si="70"/>
        <v>200</v>
      </c>
      <c r="I351" s="356">
        <f t="shared" si="73"/>
        <v>200</v>
      </c>
      <c r="J351" s="357">
        <v>1</v>
      </c>
      <c r="K351" s="358" t="s">
        <v>236</v>
      </c>
      <c r="L351" s="502" t="s">
        <v>967</v>
      </c>
      <c r="M351" s="570"/>
    </row>
    <row r="352" spans="1:13" s="571" customFormat="1" ht="36">
      <c r="A352" s="503">
        <f t="shared" si="72"/>
        <v>32</v>
      </c>
      <c r="B352" s="354">
        <v>85</v>
      </c>
      <c r="C352" s="359" t="s">
        <v>99</v>
      </c>
      <c r="D352" s="344" t="s">
        <v>263</v>
      </c>
      <c r="E352" s="356">
        <v>1</v>
      </c>
      <c r="F352" s="356">
        <v>20</v>
      </c>
      <c r="G352" s="356">
        <v>50</v>
      </c>
      <c r="H352" s="356">
        <f t="shared" si="70"/>
        <v>1000</v>
      </c>
      <c r="I352" s="356">
        <f t="shared" si="73"/>
        <v>1000</v>
      </c>
      <c r="J352" s="357">
        <v>2</v>
      </c>
      <c r="K352" s="358" t="s">
        <v>236</v>
      </c>
      <c r="L352" s="502" t="s">
        <v>967</v>
      </c>
      <c r="M352" s="570"/>
    </row>
    <row r="353" spans="1:13" s="571" customFormat="1" ht="36">
      <c r="A353" s="503">
        <f>A352+1</f>
        <v>33</v>
      </c>
      <c r="B353" s="354">
        <v>86</v>
      </c>
      <c r="C353" s="359" t="s">
        <v>99</v>
      </c>
      <c r="D353" s="344" t="s">
        <v>264</v>
      </c>
      <c r="E353" s="356">
        <v>1</v>
      </c>
      <c r="F353" s="356">
        <v>20</v>
      </c>
      <c r="G353" s="356">
        <v>50</v>
      </c>
      <c r="H353" s="356">
        <f t="shared" si="70"/>
        <v>1000</v>
      </c>
      <c r="I353" s="356">
        <f>H353*E353</f>
        <v>1000</v>
      </c>
      <c r="J353" s="357">
        <v>2</v>
      </c>
      <c r="K353" s="358" t="s">
        <v>236</v>
      </c>
      <c r="L353" s="502" t="s">
        <v>967</v>
      </c>
      <c r="M353" s="570"/>
    </row>
    <row r="354" spans="1:13" s="571" customFormat="1" ht="22.5">
      <c r="A354" s="503">
        <f t="shared" si="72"/>
        <v>34</v>
      </c>
      <c r="B354" s="354">
        <v>87</v>
      </c>
      <c r="C354" s="355" t="s">
        <v>100</v>
      </c>
      <c r="D354" s="344" t="s">
        <v>26</v>
      </c>
      <c r="E354" s="356">
        <v>2</v>
      </c>
      <c r="F354" s="356">
        <v>30</v>
      </c>
      <c r="G354" s="356">
        <v>10</v>
      </c>
      <c r="H354" s="356">
        <f t="shared" si="70"/>
        <v>300</v>
      </c>
      <c r="I354" s="356">
        <f t="shared" ref="I354:I362" si="74">H354*E354</f>
        <v>600</v>
      </c>
      <c r="J354" s="357">
        <v>0.5</v>
      </c>
      <c r="K354" s="358" t="s">
        <v>236</v>
      </c>
      <c r="L354" s="502" t="s">
        <v>613</v>
      </c>
      <c r="M354" s="570"/>
    </row>
    <row r="355" spans="1:13" s="569" customFormat="1" ht="12.75" customHeight="1">
      <c r="A355" s="503"/>
      <c r="B355" s="858" t="s">
        <v>209</v>
      </c>
      <c r="C355" s="858"/>
      <c r="D355" s="505"/>
      <c r="E355" s="506"/>
      <c r="F355" s="506"/>
      <c r="G355" s="507">
        <f t="shared" ref="G355:I355" si="75">SUM(G347:G354)</f>
        <v>261</v>
      </c>
      <c r="H355" s="507">
        <f t="shared" si="75"/>
        <v>5590</v>
      </c>
      <c r="I355" s="507">
        <f t="shared" si="75"/>
        <v>6590</v>
      </c>
      <c r="J355" s="508">
        <f>SUM(J347:J354)</f>
        <v>17.5</v>
      </c>
      <c r="K355" s="509"/>
      <c r="L355" s="510"/>
      <c r="M355" s="568"/>
    </row>
    <row r="356" spans="1:13">
      <c r="A356" s="503"/>
      <c r="B356" s="518" t="s">
        <v>649</v>
      </c>
      <c r="C356" s="519"/>
      <c r="D356" s="344"/>
      <c r="E356" s="520"/>
      <c r="F356" s="514"/>
      <c r="G356" s="514"/>
      <c r="H356" s="514"/>
      <c r="I356" s="514"/>
      <c r="J356" s="515"/>
      <c r="K356" s="516"/>
      <c r="L356" s="517"/>
    </row>
    <row r="357" spans="1:13" s="571" customFormat="1" ht="33.75">
      <c r="A357" s="503">
        <f>A354+1</f>
        <v>35</v>
      </c>
      <c r="B357" s="354">
        <v>91</v>
      </c>
      <c r="C357" s="359" t="s">
        <v>101</v>
      </c>
      <c r="D357" s="344" t="s">
        <v>141</v>
      </c>
      <c r="E357" s="356">
        <v>1</v>
      </c>
      <c r="F357" s="356">
        <v>40</v>
      </c>
      <c r="G357" s="356">
        <v>70</v>
      </c>
      <c r="H357" s="356">
        <f>F357*G357</f>
        <v>2800</v>
      </c>
      <c r="I357" s="356">
        <f t="shared" si="74"/>
        <v>2800</v>
      </c>
      <c r="J357" s="357">
        <v>25</v>
      </c>
      <c r="K357" s="501" t="s">
        <v>236</v>
      </c>
      <c r="L357" s="360" t="s">
        <v>639</v>
      </c>
      <c r="M357" s="570"/>
    </row>
    <row r="358" spans="1:13" s="569" customFormat="1" ht="12.75" customHeight="1">
      <c r="A358" s="504"/>
      <c r="B358" s="858" t="s">
        <v>209</v>
      </c>
      <c r="C358" s="858"/>
      <c r="D358" s="505"/>
      <c r="E358" s="506"/>
      <c r="F358" s="506"/>
      <c r="G358" s="507">
        <f>SUM(G357)</f>
        <v>70</v>
      </c>
      <c r="H358" s="507">
        <f t="shared" ref="H358:J358" si="76">SUM(H357)</f>
        <v>2800</v>
      </c>
      <c r="I358" s="507">
        <f t="shared" si="76"/>
        <v>2800</v>
      </c>
      <c r="J358" s="508">
        <f t="shared" si="76"/>
        <v>25</v>
      </c>
      <c r="K358" s="509"/>
      <c r="L358" s="510"/>
      <c r="M358" s="568"/>
    </row>
    <row r="359" spans="1:13">
      <c r="A359" s="511"/>
      <c r="B359" s="518" t="s">
        <v>650</v>
      </c>
      <c r="D359" s="344"/>
      <c r="E359" s="520"/>
      <c r="F359" s="514"/>
      <c r="G359" s="514"/>
      <c r="H359" s="514"/>
      <c r="I359" s="514"/>
      <c r="J359" s="515"/>
      <c r="K359" s="516"/>
      <c r="L359" s="517"/>
    </row>
    <row r="360" spans="1:13" s="571" customFormat="1" ht="24">
      <c r="A360" s="503">
        <f>A357+1</f>
        <v>36</v>
      </c>
      <c r="B360" s="354">
        <v>97</v>
      </c>
      <c r="C360" s="359" t="s">
        <v>640</v>
      </c>
      <c r="D360" s="344" t="s">
        <v>257</v>
      </c>
      <c r="E360" s="354">
        <v>1</v>
      </c>
      <c r="F360" s="354">
        <v>30</v>
      </c>
      <c r="G360" s="354">
        <v>30</v>
      </c>
      <c r="H360" s="354">
        <f>G360*F360</f>
        <v>900</v>
      </c>
      <c r="I360" s="354">
        <f t="shared" si="74"/>
        <v>900</v>
      </c>
      <c r="J360" s="357">
        <v>8</v>
      </c>
      <c r="K360" s="358" t="s">
        <v>641</v>
      </c>
      <c r="L360" s="360" t="s">
        <v>639</v>
      </c>
      <c r="M360" s="570"/>
    </row>
    <row r="361" spans="1:13" s="571" customFormat="1" ht="24">
      <c r="A361" s="503">
        <f>A360+1</f>
        <v>37</v>
      </c>
      <c r="B361" s="354">
        <v>98</v>
      </c>
      <c r="C361" s="359" t="s">
        <v>102</v>
      </c>
      <c r="D361" s="344" t="s">
        <v>18</v>
      </c>
      <c r="E361" s="354">
        <v>1</v>
      </c>
      <c r="F361" s="354">
        <v>40</v>
      </c>
      <c r="G361" s="354">
        <v>70</v>
      </c>
      <c r="H361" s="354">
        <f>F361*G361</f>
        <v>2800</v>
      </c>
      <c r="I361" s="354">
        <f t="shared" si="74"/>
        <v>2800</v>
      </c>
      <c r="J361" s="357">
        <v>10</v>
      </c>
      <c r="K361" s="501" t="s">
        <v>236</v>
      </c>
      <c r="L361" s="360" t="s">
        <v>639</v>
      </c>
      <c r="M361" s="570"/>
    </row>
    <row r="362" spans="1:13" s="571" customFormat="1" ht="24">
      <c r="A362" s="503">
        <f>A361+1</f>
        <v>38</v>
      </c>
      <c r="B362" s="354">
        <v>99</v>
      </c>
      <c r="C362" s="359" t="s">
        <v>103</v>
      </c>
      <c r="D362" s="344" t="s">
        <v>642</v>
      </c>
      <c r="E362" s="354">
        <v>3</v>
      </c>
      <c r="F362" s="354">
        <v>30</v>
      </c>
      <c r="G362" s="354">
        <v>10</v>
      </c>
      <c r="H362" s="354">
        <f>F362*G362</f>
        <v>300</v>
      </c>
      <c r="I362" s="354">
        <f t="shared" si="74"/>
        <v>900</v>
      </c>
      <c r="J362" s="357">
        <v>1.5</v>
      </c>
      <c r="K362" s="358" t="s">
        <v>641</v>
      </c>
      <c r="L362" s="360" t="s">
        <v>643</v>
      </c>
      <c r="M362" s="570"/>
    </row>
    <row r="363" spans="1:13" ht="12.75" customHeight="1">
      <c r="A363" s="504"/>
      <c r="B363" s="858" t="s">
        <v>209</v>
      </c>
      <c r="C363" s="858"/>
      <c r="D363" s="505"/>
      <c r="E363" s="506">
        <f t="shared" ref="E363:H363" si="77">SUM(E360:E362)</f>
        <v>5</v>
      </c>
      <c r="F363" s="506">
        <f t="shared" si="77"/>
        <v>100</v>
      </c>
      <c r="G363" s="507">
        <f t="shared" si="77"/>
        <v>110</v>
      </c>
      <c r="H363" s="507">
        <f t="shared" si="77"/>
        <v>4000</v>
      </c>
      <c r="I363" s="507">
        <f>SUM(I360:I362)</f>
        <v>4600</v>
      </c>
      <c r="J363" s="508">
        <f>SUM(J360:J362)</f>
        <v>19.5</v>
      </c>
      <c r="K363" s="509"/>
      <c r="L363" s="510"/>
    </row>
    <row r="364" spans="1:13">
      <c r="A364" s="531"/>
      <c r="B364" s="531"/>
      <c r="C364" s="371" t="s">
        <v>1506</v>
      </c>
      <c r="D364" s="531"/>
      <c r="E364" s="371"/>
      <c r="F364" s="371"/>
      <c r="G364" s="532">
        <f>G363+G358+G355+G345+G338+G332+G324+G315</f>
        <v>922</v>
      </c>
      <c r="H364" s="532">
        <f>H363+H358+H355+H345+H338+H332+H324+H315</f>
        <v>56069</v>
      </c>
      <c r="I364" s="532">
        <f>I363+I358+I355+I345+I338+I332+I324+I315</f>
        <v>69442</v>
      </c>
      <c r="J364" s="533">
        <f>J363+J358+J355+J345+J338+J332+J324+J315</f>
        <v>234.04999999999998</v>
      </c>
      <c r="K364" s="376"/>
      <c r="L364" s="371"/>
    </row>
    <row r="365" spans="1:13" ht="20.25">
      <c r="A365" s="363" t="s">
        <v>24</v>
      </c>
      <c r="B365" s="363"/>
      <c r="C365" s="363"/>
      <c r="D365" s="363"/>
      <c r="E365" s="363"/>
      <c r="F365" s="363"/>
      <c r="G365" s="363"/>
      <c r="H365" s="363"/>
      <c r="I365" s="363"/>
      <c r="J365" s="363"/>
      <c r="K365" s="364"/>
      <c r="L365" s="363"/>
    </row>
    <row r="366" spans="1:13" s="571" customFormat="1" ht="24">
      <c r="A366" s="380">
        <v>1</v>
      </c>
      <c r="B366" s="421"/>
      <c r="C366" s="343" t="s">
        <v>497</v>
      </c>
      <c r="D366" s="332" t="s">
        <v>921</v>
      </c>
      <c r="E366" s="332">
        <v>2</v>
      </c>
      <c r="F366" s="332">
        <v>25</v>
      </c>
      <c r="G366" s="332">
        <v>2</v>
      </c>
      <c r="H366" s="332">
        <f t="shared" ref="H366:H371" si="78">F366*G366</f>
        <v>50</v>
      </c>
      <c r="I366" s="332">
        <f t="shared" ref="I366:I371" si="79">H366*E366</f>
        <v>100</v>
      </c>
      <c r="J366" s="345">
        <v>1.4</v>
      </c>
      <c r="K366" s="534" t="s">
        <v>922</v>
      </c>
      <c r="L366" s="346" t="s">
        <v>923</v>
      </c>
      <c r="M366" s="570"/>
    </row>
    <row r="367" spans="1:13" s="571" customFormat="1" ht="24">
      <c r="A367" s="380">
        <v>2</v>
      </c>
      <c r="B367" s="421"/>
      <c r="C367" s="343" t="s">
        <v>265</v>
      </c>
      <c r="D367" s="332" t="s">
        <v>921</v>
      </c>
      <c r="E367" s="332">
        <v>2</v>
      </c>
      <c r="F367" s="332">
        <v>25</v>
      </c>
      <c r="G367" s="332">
        <v>2</v>
      </c>
      <c r="H367" s="332">
        <f t="shared" si="78"/>
        <v>50</v>
      </c>
      <c r="I367" s="332">
        <f t="shared" si="79"/>
        <v>100</v>
      </c>
      <c r="J367" s="345">
        <v>1.4</v>
      </c>
      <c r="K367" s="534" t="s">
        <v>922</v>
      </c>
      <c r="L367" s="346" t="s">
        <v>924</v>
      </c>
      <c r="M367" s="570"/>
    </row>
    <row r="368" spans="1:13" s="571" customFormat="1" ht="24">
      <c r="A368" s="380">
        <v>3</v>
      </c>
      <c r="B368" s="421"/>
      <c r="C368" s="343" t="s">
        <v>267</v>
      </c>
      <c r="D368" s="332" t="s">
        <v>921</v>
      </c>
      <c r="E368" s="332">
        <v>4</v>
      </c>
      <c r="F368" s="332">
        <v>25</v>
      </c>
      <c r="G368" s="332">
        <v>4</v>
      </c>
      <c r="H368" s="332">
        <f t="shared" si="78"/>
        <v>100</v>
      </c>
      <c r="I368" s="332">
        <f t="shared" si="79"/>
        <v>400</v>
      </c>
      <c r="J368" s="345">
        <v>4.5999999999999996</v>
      </c>
      <c r="K368" s="535" t="s">
        <v>922</v>
      </c>
      <c r="L368" s="346" t="s">
        <v>925</v>
      </c>
      <c r="M368" s="570"/>
    </row>
    <row r="369" spans="1:13" s="571" customFormat="1" ht="25.5">
      <c r="A369" s="380">
        <v>4</v>
      </c>
      <c r="B369" s="421"/>
      <c r="C369" s="343" t="s">
        <v>926</v>
      </c>
      <c r="D369" s="332" t="s">
        <v>921</v>
      </c>
      <c r="E369" s="332">
        <v>1</v>
      </c>
      <c r="F369" s="332">
        <v>80</v>
      </c>
      <c r="G369" s="332">
        <v>20</v>
      </c>
      <c r="H369" s="332">
        <f t="shared" si="78"/>
        <v>1600</v>
      </c>
      <c r="I369" s="332">
        <f t="shared" si="79"/>
        <v>1600</v>
      </c>
      <c r="J369" s="345">
        <v>3</v>
      </c>
      <c r="K369" s="390" t="s">
        <v>927</v>
      </c>
      <c r="L369" s="346" t="s">
        <v>928</v>
      </c>
      <c r="M369" s="570"/>
    </row>
    <row r="370" spans="1:13" s="571" customFormat="1" ht="25.5">
      <c r="A370" s="380">
        <v>5</v>
      </c>
      <c r="B370" s="421"/>
      <c r="C370" s="343" t="s">
        <v>929</v>
      </c>
      <c r="D370" s="536" t="s">
        <v>930</v>
      </c>
      <c r="E370" s="332">
        <v>1</v>
      </c>
      <c r="F370" s="332">
        <v>30</v>
      </c>
      <c r="G370" s="332">
        <v>30</v>
      </c>
      <c r="H370" s="332">
        <f t="shared" si="78"/>
        <v>900</v>
      </c>
      <c r="I370" s="332">
        <f t="shared" si="79"/>
        <v>900</v>
      </c>
      <c r="J370" s="345">
        <v>1.05</v>
      </c>
      <c r="K370" s="390" t="s">
        <v>927</v>
      </c>
      <c r="L370" s="346" t="s">
        <v>925</v>
      </c>
      <c r="M370" s="570"/>
    </row>
    <row r="371" spans="1:13" s="571" customFormat="1" ht="24">
      <c r="A371" s="380">
        <v>6</v>
      </c>
      <c r="B371" s="421"/>
      <c r="C371" s="343" t="s">
        <v>931</v>
      </c>
      <c r="D371" s="536" t="s">
        <v>932</v>
      </c>
      <c r="E371" s="332">
        <v>2</v>
      </c>
      <c r="F371" s="332">
        <v>24</v>
      </c>
      <c r="G371" s="332">
        <v>2</v>
      </c>
      <c r="H371" s="332">
        <f t="shared" si="78"/>
        <v>48</v>
      </c>
      <c r="I371" s="332">
        <f t="shared" si="79"/>
        <v>96</v>
      </c>
      <c r="J371" s="345">
        <v>1.4</v>
      </c>
      <c r="K371" s="535" t="s">
        <v>922</v>
      </c>
      <c r="L371" s="346" t="s">
        <v>933</v>
      </c>
      <c r="M371" s="570"/>
    </row>
    <row r="372" spans="1:13">
      <c r="A372" s="537"/>
      <c r="B372" s="537"/>
      <c r="C372" s="371" t="s">
        <v>1507</v>
      </c>
      <c r="D372" s="387"/>
      <c r="E372" s="371"/>
      <c r="F372" s="371"/>
      <c r="G372" s="371">
        <f>SUM(G366:G371)</f>
        <v>60</v>
      </c>
      <c r="H372" s="371">
        <f>SUM(H366:H371)</f>
        <v>2748</v>
      </c>
      <c r="I372" s="371">
        <f>SUM(I366:I371)</f>
        <v>3196</v>
      </c>
      <c r="J372" s="372">
        <f>SUM(J366:J371)</f>
        <v>12.85</v>
      </c>
      <c r="K372" s="376"/>
      <c r="L372" s="371"/>
    </row>
    <row r="373" spans="1:13" ht="20.25">
      <c r="A373" s="363" t="s">
        <v>362</v>
      </c>
      <c r="B373" s="363"/>
      <c r="C373" s="363"/>
      <c r="D373" s="363"/>
      <c r="E373" s="363"/>
      <c r="F373" s="363"/>
      <c r="G373" s="363"/>
      <c r="H373" s="363"/>
      <c r="I373" s="363"/>
      <c r="J373" s="363"/>
      <c r="K373" s="364"/>
      <c r="L373" s="363"/>
    </row>
    <row r="374" spans="1:13" s="571" customFormat="1" ht="22.5">
      <c r="A374" s="380">
        <v>1</v>
      </c>
      <c r="B374" s="538" t="s">
        <v>995</v>
      </c>
      <c r="C374" s="539" t="s">
        <v>974</v>
      </c>
      <c r="D374" s="540" t="s">
        <v>996</v>
      </c>
      <c r="E374" s="541">
        <v>1</v>
      </c>
      <c r="F374" s="541">
        <v>188</v>
      </c>
      <c r="G374" s="541">
        <v>1</v>
      </c>
      <c r="H374" s="541">
        <v>188</v>
      </c>
      <c r="I374" s="541">
        <v>188</v>
      </c>
      <c r="J374" s="542">
        <v>5</v>
      </c>
      <c r="K374" s="540" t="s">
        <v>708</v>
      </c>
      <c r="L374" s="540" t="s">
        <v>997</v>
      </c>
      <c r="M374" s="570"/>
    </row>
    <row r="375" spans="1:13" s="571" customFormat="1" ht="22.5">
      <c r="A375" s="380">
        <f>A374+1</f>
        <v>2</v>
      </c>
      <c r="B375" s="538" t="s">
        <v>998</v>
      </c>
      <c r="C375" s="539" t="s">
        <v>975</v>
      </c>
      <c r="D375" s="540" t="s">
        <v>996</v>
      </c>
      <c r="E375" s="541">
        <v>1</v>
      </c>
      <c r="F375" s="541">
        <v>94</v>
      </c>
      <c r="G375" s="543">
        <v>7</v>
      </c>
      <c r="H375" s="541">
        <v>658</v>
      </c>
      <c r="I375" s="541">
        <v>658</v>
      </c>
      <c r="J375" s="542">
        <v>7</v>
      </c>
      <c r="K375" s="540" t="s">
        <v>999</v>
      </c>
      <c r="L375" s="540" t="s">
        <v>1000</v>
      </c>
      <c r="M375" s="570"/>
    </row>
    <row r="376" spans="1:13" s="571" customFormat="1" ht="22.5">
      <c r="A376" s="380">
        <f t="shared" ref="A376:A382" si="80">A375+1</f>
        <v>3</v>
      </c>
      <c r="B376" s="538" t="s">
        <v>1001</v>
      </c>
      <c r="C376" s="539" t="s">
        <v>976</v>
      </c>
      <c r="D376" s="540" t="s">
        <v>996</v>
      </c>
      <c r="E376" s="541">
        <v>1</v>
      </c>
      <c r="F376" s="541">
        <v>94</v>
      </c>
      <c r="G376" s="543">
        <v>1</v>
      </c>
      <c r="H376" s="541">
        <v>94</v>
      </c>
      <c r="I376" s="541">
        <v>94</v>
      </c>
      <c r="J376" s="542">
        <v>3</v>
      </c>
      <c r="K376" s="540" t="s">
        <v>999</v>
      </c>
      <c r="L376" s="540" t="s">
        <v>1002</v>
      </c>
      <c r="M376" s="570"/>
    </row>
    <row r="377" spans="1:13" s="571" customFormat="1" ht="22.5">
      <c r="A377" s="380">
        <f t="shared" si="80"/>
        <v>4</v>
      </c>
      <c r="B377" s="538" t="s">
        <v>1003</v>
      </c>
      <c r="C377" s="539" t="s">
        <v>977</v>
      </c>
      <c r="D377" s="540" t="s">
        <v>996</v>
      </c>
      <c r="E377" s="541">
        <v>2</v>
      </c>
      <c r="F377" s="541">
        <v>47</v>
      </c>
      <c r="G377" s="543">
        <v>1</v>
      </c>
      <c r="H377" s="541">
        <v>47</v>
      </c>
      <c r="I377" s="541">
        <v>94</v>
      </c>
      <c r="J377" s="542">
        <v>3</v>
      </c>
      <c r="K377" s="540" t="s">
        <v>999</v>
      </c>
      <c r="L377" s="540" t="s">
        <v>1004</v>
      </c>
      <c r="M377" s="570"/>
    </row>
    <row r="378" spans="1:13" s="571" customFormat="1" ht="22.5">
      <c r="A378" s="380">
        <f t="shared" si="80"/>
        <v>5</v>
      </c>
      <c r="B378" s="538" t="s">
        <v>1005</v>
      </c>
      <c r="C378" s="539" t="s">
        <v>978</v>
      </c>
      <c r="D378" s="540" t="s">
        <v>996</v>
      </c>
      <c r="E378" s="541">
        <v>1</v>
      </c>
      <c r="F378" s="541">
        <v>140</v>
      </c>
      <c r="G378" s="543">
        <v>1</v>
      </c>
      <c r="H378" s="541">
        <v>140</v>
      </c>
      <c r="I378" s="541">
        <v>140</v>
      </c>
      <c r="J378" s="542">
        <v>4</v>
      </c>
      <c r="K378" s="540" t="s">
        <v>999</v>
      </c>
      <c r="L378" s="540" t="s">
        <v>1006</v>
      </c>
      <c r="M378" s="570"/>
    </row>
    <row r="379" spans="1:13" s="571" customFormat="1" ht="22.5">
      <c r="A379" s="380">
        <f>A378+1</f>
        <v>6</v>
      </c>
      <c r="B379" s="538" t="s">
        <v>1007</v>
      </c>
      <c r="C379" s="539" t="s">
        <v>979</v>
      </c>
      <c r="D379" s="540" t="s">
        <v>996</v>
      </c>
      <c r="E379" s="541">
        <v>2</v>
      </c>
      <c r="F379" s="541">
        <v>30</v>
      </c>
      <c r="G379" s="543">
        <v>1</v>
      </c>
      <c r="H379" s="541">
        <v>30</v>
      </c>
      <c r="I379" s="541">
        <v>60</v>
      </c>
      <c r="J379" s="542">
        <v>4</v>
      </c>
      <c r="K379" s="540" t="s">
        <v>999</v>
      </c>
      <c r="L379" s="540" t="s">
        <v>1008</v>
      </c>
      <c r="M379" s="570"/>
    </row>
    <row r="380" spans="1:13" s="571" customFormat="1" ht="22.5">
      <c r="A380" s="380">
        <f t="shared" si="80"/>
        <v>7</v>
      </c>
      <c r="B380" s="538" t="s">
        <v>985</v>
      </c>
      <c r="C380" s="539" t="s">
        <v>980</v>
      </c>
      <c r="D380" s="540" t="s">
        <v>996</v>
      </c>
      <c r="E380" s="541">
        <v>1</v>
      </c>
      <c r="F380" s="541">
        <v>70</v>
      </c>
      <c r="G380" s="543">
        <v>4</v>
      </c>
      <c r="H380" s="541">
        <v>280</v>
      </c>
      <c r="I380" s="541">
        <v>280</v>
      </c>
      <c r="J380" s="542">
        <v>5</v>
      </c>
      <c r="K380" s="540" t="s">
        <v>999</v>
      </c>
      <c r="L380" s="540" t="s">
        <v>1009</v>
      </c>
      <c r="M380" s="570"/>
    </row>
    <row r="381" spans="1:13" s="571" customFormat="1" ht="22.5">
      <c r="A381" s="380">
        <f t="shared" si="80"/>
        <v>8</v>
      </c>
      <c r="B381" s="538" t="s">
        <v>195</v>
      </c>
      <c r="C381" s="539" t="s">
        <v>196</v>
      </c>
      <c r="D381" s="540" t="s">
        <v>996</v>
      </c>
      <c r="E381" s="541">
        <v>1</v>
      </c>
      <c r="F381" s="541">
        <v>40</v>
      </c>
      <c r="G381" s="543">
        <v>6</v>
      </c>
      <c r="H381" s="541">
        <v>240</v>
      </c>
      <c r="I381" s="541">
        <v>240</v>
      </c>
      <c r="J381" s="542">
        <v>3.5</v>
      </c>
      <c r="K381" s="540" t="s">
        <v>999</v>
      </c>
      <c r="L381" s="540" t="s">
        <v>1010</v>
      </c>
      <c r="M381" s="570"/>
    </row>
    <row r="382" spans="1:13" s="571" customFormat="1" ht="22.5">
      <c r="A382" s="380">
        <f t="shared" si="80"/>
        <v>9</v>
      </c>
      <c r="B382" s="538" t="s">
        <v>1011</v>
      </c>
      <c r="C382" s="539" t="s">
        <v>1012</v>
      </c>
      <c r="D382" s="540" t="s">
        <v>996</v>
      </c>
      <c r="E382" s="541">
        <v>1</v>
      </c>
      <c r="F382" s="541">
        <v>40</v>
      </c>
      <c r="G382" s="543">
        <v>5</v>
      </c>
      <c r="H382" s="541">
        <v>200</v>
      </c>
      <c r="I382" s="541">
        <v>200</v>
      </c>
      <c r="J382" s="542">
        <v>22</v>
      </c>
      <c r="K382" s="540" t="s">
        <v>999</v>
      </c>
      <c r="L382" s="540" t="s">
        <v>1009</v>
      </c>
      <c r="M382" s="570"/>
    </row>
    <row r="383" spans="1:13">
      <c r="A383" s="544"/>
      <c r="B383" s="544"/>
      <c r="C383" s="371" t="s">
        <v>1508</v>
      </c>
      <c r="D383" s="371"/>
      <c r="E383" s="371"/>
      <c r="F383" s="371"/>
      <c r="G383" s="371">
        <f>SUM(G374:G382)</f>
        <v>27</v>
      </c>
      <c r="H383" s="371">
        <f t="shared" ref="H383:J383" si="81">SUM(H374:H382)</f>
        <v>1877</v>
      </c>
      <c r="I383" s="371">
        <f t="shared" si="81"/>
        <v>1954</v>
      </c>
      <c r="J383" s="372">
        <f t="shared" si="81"/>
        <v>56.5</v>
      </c>
      <c r="K383" s="376"/>
      <c r="L383" s="371"/>
    </row>
    <row r="384" spans="1:13" ht="20.25">
      <c r="A384" s="363" t="s">
        <v>14</v>
      </c>
      <c r="B384" s="363"/>
      <c r="C384" s="363"/>
      <c r="D384" s="363"/>
      <c r="E384" s="363"/>
      <c r="F384" s="363"/>
      <c r="G384" s="363"/>
      <c r="H384" s="363"/>
      <c r="I384" s="363"/>
      <c r="J384" s="363"/>
      <c r="K384" s="364"/>
      <c r="L384" s="363"/>
    </row>
    <row r="385" spans="1:13" s="571" customFormat="1" ht="24">
      <c r="A385" s="421">
        <v>1</v>
      </c>
      <c r="B385" s="342"/>
      <c r="C385" s="545" t="s">
        <v>879</v>
      </c>
      <c r="D385" s="344" t="s">
        <v>547</v>
      </c>
      <c r="E385" s="432">
        <v>2</v>
      </c>
      <c r="F385" s="432">
        <v>24</v>
      </c>
      <c r="G385" s="432">
        <v>100</v>
      </c>
      <c r="H385" s="432">
        <f>F385*G385</f>
        <v>2400</v>
      </c>
      <c r="I385" s="432">
        <v>4800</v>
      </c>
      <c r="J385" s="546">
        <f>2688000/100000</f>
        <v>26.88</v>
      </c>
      <c r="K385" s="547" t="s">
        <v>218</v>
      </c>
      <c r="L385" s="545" t="s">
        <v>219</v>
      </c>
      <c r="M385" s="570"/>
    </row>
    <row r="386" spans="1:13" s="571" customFormat="1" ht="24">
      <c r="A386" s="421">
        <f>A385+1</f>
        <v>2</v>
      </c>
      <c r="B386" s="342"/>
      <c r="C386" s="545" t="s">
        <v>220</v>
      </c>
      <c r="D386" s="344" t="s">
        <v>221</v>
      </c>
      <c r="E386" s="432">
        <v>3</v>
      </c>
      <c r="F386" s="432">
        <v>24</v>
      </c>
      <c r="G386" s="432">
        <v>10</v>
      </c>
      <c r="H386" s="432">
        <v>240</v>
      </c>
      <c r="I386" s="432">
        <v>720</v>
      </c>
      <c r="J386" s="546">
        <v>4.032</v>
      </c>
      <c r="K386" s="547" t="s">
        <v>218</v>
      </c>
      <c r="L386" s="545" t="s">
        <v>219</v>
      </c>
      <c r="M386" s="570"/>
    </row>
    <row r="387" spans="1:13" s="571" customFormat="1" ht="24">
      <c r="A387" s="421">
        <f t="shared" ref="A387:A402" si="82">A386+1</f>
        <v>3</v>
      </c>
      <c r="B387" s="342"/>
      <c r="C387" s="547" t="s">
        <v>532</v>
      </c>
      <c r="D387" s="344" t="s">
        <v>548</v>
      </c>
      <c r="E387" s="432">
        <v>1</v>
      </c>
      <c r="F387" s="432">
        <v>25</v>
      </c>
      <c r="G387" s="432">
        <v>20</v>
      </c>
      <c r="H387" s="432">
        <f t="shared" ref="H387:H395" si="83">F387*G387</f>
        <v>500</v>
      </c>
      <c r="I387" s="432">
        <v>500</v>
      </c>
      <c r="J387" s="546">
        <v>2.4</v>
      </c>
      <c r="K387" s="547" t="s">
        <v>218</v>
      </c>
      <c r="L387" s="545" t="s">
        <v>219</v>
      </c>
      <c r="M387" s="570"/>
    </row>
    <row r="388" spans="1:13" s="571" customFormat="1" ht="24">
      <c r="A388" s="421">
        <f t="shared" si="82"/>
        <v>4</v>
      </c>
      <c r="B388" s="342"/>
      <c r="C388" s="547" t="s">
        <v>533</v>
      </c>
      <c r="D388" s="344" t="s">
        <v>548</v>
      </c>
      <c r="E388" s="432">
        <v>1</v>
      </c>
      <c r="F388" s="432">
        <v>25</v>
      </c>
      <c r="G388" s="432">
        <v>20</v>
      </c>
      <c r="H388" s="432">
        <f t="shared" si="83"/>
        <v>500</v>
      </c>
      <c r="I388" s="432">
        <v>500</v>
      </c>
      <c r="J388" s="546">
        <v>2.4</v>
      </c>
      <c r="K388" s="547" t="s">
        <v>218</v>
      </c>
      <c r="L388" s="545" t="s">
        <v>219</v>
      </c>
      <c r="M388" s="570"/>
    </row>
    <row r="389" spans="1:13" s="571" customFormat="1" ht="24">
      <c r="A389" s="421">
        <f t="shared" si="82"/>
        <v>5</v>
      </c>
      <c r="B389" s="342"/>
      <c r="C389" s="545" t="s">
        <v>534</v>
      </c>
      <c r="D389" s="344" t="s">
        <v>549</v>
      </c>
      <c r="E389" s="432">
        <v>2</v>
      </c>
      <c r="F389" s="432">
        <v>30</v>
      </c>
      <c r="G389" s="432">
        <v>250</v>
      </c>
      <c r="H389" s="432">
        <f t="shared" si="83"/>
        <v>7500</v>
      </c>
      <c r="I389" s="432">
        <v>15000</v>
      </c>
      <c r="J389" s="546">
        <v>36</v>
      </c>
      <c r="K389" s="545" t="s">
        <v>561</v>
      </c>
      <c r="L389" s="545" t="s">
        <v>219</v>
      </c>
      <c r="M389" s="570"/>
    </row>
    <row r="390" spans="1:13" s="571" customFormat="1" ht="24">
      <c r="A390" s="421">
        <f t="shared" si="82"/>
        <v>6</v>
      </c>
      <c r="B390" s="342"/>
      <c r="C390" s="547" t="s">
        <v>535</v>
      </c>
      <c r="D390" s="344" t="s">
        <v>550</v>
      </c>
      <c r="E390" s="432">
        <v>2</v>
      </c>
      <c r="F390" s="432">
        <v>24</v>
      </c>
      <c r="G390" s="432">
        <v>15</v>
      </c>
      <c r="H390" s="432">
        <f t="shared" si="83"/>
        <v>360</v>
      </c>
      <c r="I390" s="432">
        <f>E390*H390</f>
        <v>720</v>
      </c>
      <c r="J390" s="546">
        <v>4.032</v>
      </c>
      <c r="K390" s="545" t="s">
        <v>562</v>
      </c>
      <c r="L390" s="545" t="s">
        <v>219</v>
      </c>
      <c r="M390" s="570"/>
    </row>
    <row r="391" spans="1:13" s="571" customFormat="1" ht="24">
      <c r="A391" s="421">
        <f t="shared" si="82"/>
        <v>7</v>
      </c>
      <c r="B391" s="342"/>
      <c r="C391" s="545" t="s">
        <v>379</v>
      </c>
      <c r="D391" s="344" t="s">
        <v>551</v>
      </c>
      <c r="E391" s="432">
        <v>2</v>
      </c>
      <c r="F391" s="432">
        <v>24</v>
      </c>
      <c r="G391" s="432">
        <v>15</v>
      </c>
      <c r="H391" s="432">
        <f t="shared" si="83"/>
        <v>360</v>
      </c>
      <c r="I391" s="432">
        <v>720</v>
      </c>
      <c r="J391" s="546">
        <v>4.032</v>
      </c>
      <c r="K391" s="547" t="s">
        <v>218</v>
      </c>
      <c r="L391" s="545" t="s">
        <v>219</v>
      </c>
      <c r="M391" s="570"/>
    </row>
    <row r="392" spans="1:13" s="571" customFormat="1" ht="24">
      <c r="A392" s="421">
        <f t="shared" si="82"/>
        <v>8</v>
      </c>
      <c r="B392" s="342"/>
      <c r="C392" s="545" t="s">
        <v>536</v>
      </c>
      <c r="D392" s="344" t="s">
        <v>552</v>
      </c>
      <c r="E392" s="432">
        <v>2</v>
      </c>
      <c r="F392" s="432">
        <v>24</v>
      </c>
      <c r="G392" s="432">
        <v>10</v>
      </c>
      <c r="H392" s="432">
        <f t="shared" si="83"/>
        <v>240</v>
      </c>
      <c r="I392" s="432">
        <v>480</v>
      </c>
      <c r="J392" s="546">
        <v>3.0720000000000001</v>
      </c>
      <c r="K392" s="547" t="s">
        <v>218</v>
      </c>
      <c r="L392" s="545" t="s">
        <v>219</v>
      </c>
      <c r="M392" s="570"/>
    </row>
    <row r="393" spans="1:13" s="571" customFormat="1" ht="24">
      <c r="A393" s="421">
        <f>A392+1</f>
        <v>9</v>
      </c>
      <c r="B393" s="342"/>
      <c r="C393" s="545" t="s">
        <v>537</v>
      </c>
      <c r="D393" s="344" t="s">
        <v>547</v>
      </c>
      <c r="E393" s="432">
        <v>1</v>
      </c>
      <c r="F393" s="432">
        <v>24</v>
      </c>
      <c r="G393" s="432">
        <v>30</v>
      </c>
      <c r="H393" s="432">
        <f t="shared" si="83"/>
        <v>720</v>
      </c>
      <c r="I393" s="432">
        <v>720</v>
      </c>
      <c r="J393" s="546">
        <v>4.032</v>
      </c>
      <c r="K393" s="547" t="s">
        <v>218</v>
      </c>
      <c r="L393" s="545" t="s">
        <v>219</v>
      </c>
      <c r="M393" s="570"/>
    </row>
    <row r="394" spans="1:13" s="571" customFormat="1" ht="24">
      <c r="A394" s="421">
        <f t="shared" si="82"/>
        <v>10</v>
      </c>
      <c r="B394" s="342"/>
      <c r="C394" s="545" t="s">
        <v>538</v>
      </c>
      <c r="D394" s="344" t="s">
        <v>547</v>
      </c>
      <c r="E394" s="432">
        <v>1</v>
      </c>
      <c r="F394" s="432">
        <v>24</v>
      </c>
      <c r="G394" s="432">
        <v>50</v>
      </c>
      <c r="H394" s="432">
        <f t="shared" si="83"/>
        <v>1200</v>
      </c>
      <c r="I394" s="432">
        <v>1200</v>
      </c>
      <c r="J394" s="546">
        <v>3</v>
      </c>
      <c r="K394" s="545" t="s">
        <v>563</v>
      </c>
      <c r="L394" s="545" t="s">
        <v>219</v>
      </c>
      <c r="M394" s="570"/>
    </row>
    <row r="395" spans="1:13" s="571" customFormat="1" ht="24">
      <c r="A395" s="421">
        <f t="shared" si="82"/>
        <v>11</v>
      </c>
      <c r="B395" s="332"/>
      <c r="C395" s="501" t="s">
        <v>539</v>
      </c>
      <c r="D395" s="353" t="s">
        <v>553</v>
      </c>
      <c r="E395" s="432">
        <v>2</v>
      </c>
      <c r="F395" s="432">
        <v>24</v>
      </c>
      <c r="G395" s="432">
        <v>23</v>
      </c>
      <c r="H395" s="432">
        <f t="shared" si="83"/>
        <v>552</v>
      </c>
      <c r="I395" s="432">
        <f>E395*H395</f>
        <v>1104</v>
      </c>
      <c r="J395" s="546">
        <v>6.1824000000000003</v>
      </c>
      <c r="K395" s="547" t="s">
        <v>218</v>
      </c>
      <c r="L395" s="545" t="s">
        <v>219</v>
      </c>
      <c r="M395" s="570"/>
    </row>
    <row r="396" spans="1:13" s="571" customFormat="1" ht="36">
      <c r="A396" s="421">
        <f t="shared" si="82"/>
        <v>12</v>
      </c>
      <c r="B396" s="332"/>
      <c r="C396" s="545" t="s">
        <v>540</v>
      </c>
      <c r="D396" s="353" t="s">
        <v>554</v>
      </c>
      <c r="E396" s="432">
        <v>2</v>
      </c>
      <c r="F396" s="432">
        <v>30</v>
      </c>
      <c r="G396" s="432">
        <v>5</v>
      </c>
      <c r="H396" s="432">
        <v>150</v>
      </c>
      <c r="I396" s="432">
        <v>300</v>
      </c>
      <c r="J396" s="546">
        <v>6</v>
      </c>
      <c r="K396" s="358" t="s">
        <v>564</v>
      </c>
      <c r="L396" s="358" t="s">
        <v>219</v>
      </c>
      <c r="M396" s="570"/>
    </row>
    <row r="397" spans="1:13" s="571" customFormat="1" ht="24">
      <c r="A397" s="421">
        <f t="shared" si="82"/>
        <v>13</v>
      </c>
      <c r="B397" s="332"/>
      <c r="C397" s="545" t="s">
        <v>541</v>
      </c>
      <c r="D397" s="344" t="s">
        <v>555</v>
      </c>
      <c r="E397" s="432">
        <v>1</v>
      </c>
      <c r="F397" s="432">
        <v>50</v>
      </c>
      <c r="G397" s="432">
        <v>23</v>
      </c>
      <c r="H397" s="432">
        <f t="shared" ref="H397:H402" si="84">F397*G397</f>
        <v>1150</v>
      </c>
      <c r="I397" s="432">
        <v>1150</v>
      </c>
      <c r="J397" s="546">
        <v>5.52</v>
      </c>
      <c r="K397" s="547" t="s">
        <v>218</v>
      </c>
      <c r="L397" s="545" t="s">
        <v>219</v>
      </c>
      <c r="M397" s="570"/>
    </row>
    <row r="398" spans="1:13" s="571" customFormat="1" ht="24">
      <c r="A398" s="421">
        <f>A397+1</f>
        <v>14</v>
      </c>
      <c r="B398" s="332"/>
      <c r="C398" s="358" t="s">
        <v>542</v>
      </c>
      <c r="D398" s="344" t="s">
        <v>556</v>
      </c>
      <c r="E398" s="432">
        <v>2</v>
      </c>
      <c r="F398" s="432">
        <v>23</v>
      </c>
      <c r="G398" s="432">
        <v>1</v>
      </c>
      <c r="H398" s="432">
        <f t="shared" si="84"/>
        <v>23</v>
      </c>
      <c r="I398" s="432">
        <v>46</v>
      </c>
      <c r="J398" s="546">
        <v>1.3</v>
      </c>
      <c r="K398" s="545" t="s">
        <v>565</v>
      </c>
      <c r="L398" s="545" t="s">
        <v>219</v>
      </c>
      <c r="M398" s="570"/>
    </row>
    <row r="399" spans="1:13" s="571" customFormat="1" ht="24">
      <c r="A399" s="421">
        <f t="shared" si="82"/>
        <v>15</v>
      </c>
      <c r="B399" s="332"/>
      <c r="C399" s="501" t="s">
        <v>543</v>
      </c>
      <c r="D399" s="344" t="s">
        <v>557</v>
      </c>
      <c r="E399" s="432">
        <v>4</v>
      </c>
      <c r="F399" s="432">
        <v>25</v>
      </c>
      <c r="G399" s="432">
        <v>4</v>
      </c>
      <c r="H399" s="432">
        <f t="shared" si="84"/>
        <v>100</v>
      </c>
      <c r="I399" s="432">
        <v>400</v>
      </c>
      <c r="J399" s="546">
        <v>6.4</v>
      </c>
      <c r="K399" s="547" t="s">
        <v>218</v>
      </c>
      <c r="L399" s="545" t="s">
        <v>219</v>
      </c>
      <c r="M399" s="570"/>
    </row>
    <row r="400" spans="1:13" s="571" customFormat="1" ht="24">
      <c r="A400" s="421">
        <f t="shared" si="82"/>
        <v>16</v>
      </c>
      <c r="B400" s="332"/>
      <c r="C400" s="545" t="s">
        <v>544</v>
      </c>
      <c r="D400" s="344" t="s">
        <v>558</v>
      </c>
      <c r="E400" s="432">
        <v>2</v>
      </c>
      <c r="F400" s="432">
        <v>25</v>
      </c>
      <c r="G400" s="432">
        <v>4</v>
      </c>
      <c r="H400" s="432">
        <f t="shared" si="84"/>
        <v>100</v>
      </c>
      <c r="I400" s="432">
        <v>200</v>
      </c>
      <c r="J400" s="546">
        <v>4</v>
      </c>
      <c r="K400" s="545" t="s">
        <v>565</v>
      </c>
      <c r="L400" s="545" t="s">
        <v>219</v>
      </c>
      <c r="M400" s="570"/>
    </row>
    <row r="401" spans="1:13" s="571" customFormat="1" ht="24">
      <c r="A401" s="421">
        <f t="shared" si="82"/>
        <v>17</v>
      </c>
      <c r="B401" s="332"/>
      <c r="C401" s="358" t="s">
        <v>545</v>
      </c>
      <c r="D401" s="353" t="s">
        <v>559</v>
      </c>
      <c r="E401" s="432">
        <v>1</v>
      </c>
      <c r="F401" s="432">
        <v>40</v>
      </c>
      <c r="G401" s="432">
        <v>4</v>
      </c>
      <c r="H401" s="432">
        <f t="shared" si="84"/>
        <v>160</v>
      </c>
      <c r="I401" s="432">
        <v>160</v>
      </c>
      <c r="J401" s="546">
        <v>3.2</v>
      </c>
      <c r="K401" s="358" t="s">
        <v>564</v>
      </c>
      <c r="L401" s="358" t="s">
        <v>219</v>
      </c>
      <c r="M401" s="570"/>
    </row>
    <row r="402" spans="1:13" s="571" customFormat="1" ht="24">
      <c r="A402" s="421">
        <f t="shared" si="82"/>
        <v>18</v>
      </c>
      <c r="B402" s="332"/>
      <c r="C402" s="501" t="s">
        <v>546</v>
      </c>
      <c r="D402" s="344" t="s">
        <v>560</v>
      </c>
      <c r="E402" s="432">
        <v>2</v>
      </c>
      <c r="F402" s="432">
        <v>23</v>
      </c>
      <c r="G402" s="432">
        <v>1</v>
      </c>
      <c r="H402" s="432">
        <f t="shared" si="84"/>
        <v>23</v>
      </c>
      <c r="I402" s="432">
        <v>46</v>
      </c>
      <c r="J402" s="546">
        <v>0.92</v>
      </c>
      <c r="K402" s="545" t="s">
        <v>566</v>
      </c>
      <c r="L402" s="545" t="s">
        <v>219</v>
      </c>
      <c r="M402" s="570"/>
    </row>
    <row r="403" spans="1:13">
      <c r="A403" s="548"/>
      <c r="B403" s="548"/>
      <c r="C403" s="549" t="s">
        <v>1509</v>
      </c>
      <c r="D403" s="550"/>
      <c r="E403" s="551"/>
      <c r="F403" s="551"/>
      <c r="G403" s="549">
        <f>SUM(G385:G402)</f>
        <v>585</v>
      </c>
      <c r="H403" s="549">
        <f>SUM(H385:H402)</f>
        <v>16278</v>
      </c>
      <c r="I403" s="549">
        <f>SUM(I385:I402)</f>
        <v>28766</v>
      </c>
      <c r="J403" s="552">
        <f>SUM(J385:J402)</f>
        <v>123.40239999999999</v>
      </c>
      <c r="K403" s="553"/>
      <c r="L403" s="553"/>
    </row>
    <row r="404" spans="1:13" s="571" customFormat="1" ht="20.25">
      <c r="A404" s="363" t="s">
        <v>1582</v>
      </c>
      <c r="B404" s="363"/>
      <c r="C404" s="363"/>
      <c r="D404" s="363"/>
      <c r="E404" s="363"/>
      <c r="F404" s="363"/>
      <c r="G404" s="363"/>
      <c r="H404" s="363"/>
      <c r="I404" s="363"/>
      <c r="J404" s="363"/>
      <c r="K404" s="364"/>
      <c r="L404" s="363"/>
      <c r="M404" s="570"/>
    </row>
    <row r="405" spans="1:13" s="571" customFormat="1" ht="24">
      <c r="A405" s="421">
        <v>1</v>
      </c>
      <c r="B405" s="332" t="s">
        <v>1561</v>
      </c>
      <c r="C405" s="501" t="s">
        <v>1559</v>
      </c>
      <c r="D405" s="344" t="s">
        <v>1560</v>
      </c>
      <c r="E405" s="432">
        <v>3</v>
      </c>
      <c r="F405" s="432">
        <v>32</v>
      </c>
      <c r="G405" s="432">
        <v>28</v>
      </c>
      <c r="H405" s="432">
        <f>F405*G405</f>
        <v>896</v>
      </c>
      <c r="I405" s="432">
        <f>H405*E405</f>
        <v>2688</v>
      </c>
      <c r="J405" s="546">
        <f>I405*2600/100000</f>
        <v>69.888000000000005</v>
      </c>
      <c r="K405" s="545" t="s">
        <v>1562</v>
      </c>
      <c r="L405" s="545" t="s">
        <v>1563</v>
      </c>
      <c r="M405" s="570"/>
    </row>
    <row r="406" spans="1:13">
      <c r="A406" s="377"/>
      <c r="B406" s="377"/>
      <c r="C406" s="377"/>
      <c r="D406" s="377"/>
      <c r="E406" s="834"/>
      <c r="F406" s="834"/>
      <c r="G406" s="834">
        <f t="shared" ref="G406:J406" si="85">SUM(G405)</f>
        <v>28</v>
      </c>
      <c r="H406" s="834">
        <f t="shared" si="85"/>
        <v>896</v>
      </c>
      <c r="I406" s="834">
        <f t="shared" si="85"/>
        <v>2688</v>
      </c>
      <c r="J406" s="833">
        <f t="shared" si="85"/>
        <v>69.888000000000005</v>
      </c>
      <c r="K406" s="377"/>
      <c r="L406" s="377"/>
    </row>
    <row r="407" spans="1:13">
      <c r="A407" s="554"/>
      <c r="B407" s="857" t="s">
        <v>1510</v>
      </c>
      <c r="C407" s="857"/>
      <c r="D407" s="554"/>
      <c r="E407" s="554"/>
      <c r="F407" s="554"/>
      <c r="G407" s="555">
        <f>G406+G403+G383+G372+G364+G308+G297+G260+G182+G164+G106+G102+G96+G40+G35</f>
        <v>6568</v>
      </c>
      <c r="H407" s="555">
        <f>H406+H403+H383+H372+H364+H308+H297+H260+H182+H164+H106+H102+H96+H40+H35</f>
        <v>213624</v>
      </c>
      <c r="I407" s="555">
        <f>I406+I403+I383+I372+I364+I308+I297+I260+I182+I164+I106+I102+I96+I40+I35</f>
        <v>805754</v>
      </c>
      <c r="J407" s="835">
        <f>J406+J403+J383+J372+J364+J308+J297+J260+J182+J164+J106+J102+J96+J40+J35</f>
        <v>8501.8804</v>
      </c>
      <c r="K407" s="557"/>
      <c r="L407" s="557"/>
    </row>
    <row r="408" spans="1:13">
      <c r="A408" s="554"/>
      <c r="B408" s="857" t="s">
        <v>311</v>
      </c>
      <c r="C408" s="857"/>
      <c r="D408" s="554"/>
      <c r="E408" s="554"/>
      <c r="F408" s="554"/>
      <c r="G408" s="555">
        <f>G407+'Plan Revenue 13-14'!G39</f>
        <v>6628</v>
      </c>
      <c r="H408" s="555">
        <f>H407+'Plan Revenue 13-14'!H39</f>
        <v>216114</v>
      </c>
      <c r="I408" s="555">
        <f>I407+'Plan Revenue 13-14'!I39</f>
        <v>812724</v>
      </c>
      <c r="J408" s="556">
        <f>J407+'Plan Revenue 13-14'!J39</f>
        <v>8676.8817999999992</v>
      </c>
      <c r="K408" s="557"/>
      <c r="L408" s="557"/>
    </row>
    <row r="409" spans="1:13">
      <c r="A409" s="576"/>
      <c r="B409" s="577"/>
      <c r="C409" s="577"/>
      <c r="D409" s="577"/>
      <c r="E409" s="577"/>
      <c r="F409" s="577"/>
      <c r="G409" s="577"/>
      <c r="H409" s="577"/>
      <c r="I409" s="577"/>
      <c r="J409" s="577"/>
      <c r="K409" s="578"/>
      <c r="L409" s="577"/>
    </row>
  </sheetData>
  <mergeCells count="35">
    <mergeCell ref="A48:C48"/>
    <mergeCell ref="A82:L82"/>
    <mergeCell ref="A86:C86"/>
    <mergeCell ref="A81:C81"/>
    <mergeCell ref="A73:C73"/>
    <mergeCell ref="A67:C67"/>
    <mergeCell ref="A56:L56"/>
    <mergeCell ref="A61:L61"/>
    <mergeCell ref="A62:L62"/>
    <mergeCell ref="A68:L68"/>
    <mergeCell ref="A74:L74"/>
    <mergeCell ref="A60:C60"/>
    <mergeCell ref="B332:C332"/>
    <mergeCell ref="A1:L1"/>
    <mergeCell ref="A2:L2"/>
    <mergeCell ref="A3:L3"/>
    <mergeCell ref="B40:C40"/>
    <mergeCell ref="B106:C106"/>
    <mergeCell ref="B142:C142"/>
    <mergeCell ref="B164:C164"/>
    <mergeCell ref="B182:C182"/>
    <mergeCell ref="K185:K198"/>
    <mergeCell ref="B315:C315"/>
    <mergeCell ref="B324:C324"/>
    <mergeCell ref="A42:L42"/>
    <mergeCell ref="A43:L43"/>
    <mergeCell ref="A49:L49"/>
    <mergeCell ref="A55:C55"/>
    <mergeCell ref="B408:C408"/>
    <mergeCell ref="B338:C338"/>
    <mergeCell ref="B355:C355"/>
    <mergeCell ref="B358:C358"/>
    <mergeCell ref="B363:C363"/>
    <mergeCell ref="B407:C407"/>
    <mergeCell ref="B345:C345"/>
  </mergeCells>
  <pageMargins left="1" right="1.1000000000000001" top="0.8" bottom="0.8" header="0.3" footer="0.3"/>
  <pageSetup paperSize="9" scale="80" orientation="landscape" r:id="rId1"/>
  <headerFooter>
    <oddHeader xml:space="preserve">&amp;R&amp;14TRAINING PLAN UNDER PROJECT, FY 2013-14 </oddHeader>
    <oddFooter>&amp;RPage &amp;P+28&amp;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74"/>
  <sheetViews>
    <sheetView tabSelected="1" topLeftCell="A16" workbookViewId="0">
      <selection activeCell="P30" sqref="P30"/>
    </sheetView>
  </sheetViews>
  <sheetFormatPr defaultRowHeight="12.75"/>
  <cols>
    <col min="1" max="1" width="4.42578125" style="753" customWidth="1"/>
    <col min="2" max="2" width="7.140625" style="753" customWidth="1"/>
    <col min="3" max="3" width="33.140625" style="753" customWidth="1"/>
    <col min="4" max="4" width="15" style="753" customWidth="1"/>
    <col min="5" max="5" width="8.140625" style="753" customWidth="1"/>
    <col min="6" max="6" width="9.140625" style="753"/>
    <col min="7" max="7" width="8.28515625" style="753" customWidth="1"/>
    <col min="8" max="8" width="9" style="753" customWidth="1"/>
    <col min="9" max="9" width="7.42578125" style="753" customWidth="1"/>
    <col min="10" max="10" width="9.28515625" style="753" customWidth="1"/>
    <col min="11" max="11" width="11.28515625" style="753" customWidth="1"/>
    <col min="12" max="12" width="8.42578125" style="753" customWidth="1"/>
    <col min="13" max="13" width="7.7109375" style="777" customWidth="1"/>
    <col min="14" max="14" width="7.42578125" style="101" customWidth="1"/>
    <col min="15" max="15" width="9.42578125" style="777" customWidth="1"/>
    <col min="16" max="16" width="11.7109375" style="769" customWidth="1"/>
    <col min="17" max="17" width="23.5703125" style="753" customWidth="1"/>
    <col min="18" max="16384" width="9.140625" style="753"/>
  </cols>
  <sheetData>
    <row r="1" spans="1:18" ht="20.25">
      <c r="A1" s="883" t="s">
        <v>3</v>
      </c>
      <c r="B1" s="884"/>
      <c r="C1" s="884"/>
      <c r="D1" s="884"/>
      <c r="E1" s="884"/>
      <c r="F1" s="884"/>
      <c r="G1" s="884"/>
      <c r="H1" s="884"/>
      <c r="I1" s="884"/>
      <c r="J1" s="884"/>
      <c r="K1" s="884"/>
      <c r="L1" s="884"/>
      <c r="M1" s="884"/>
      <c r="N1" s="884"/>
      <c r="O1" s="885"/>
    </row>
    <row r="2" spans="1:18" ht="20.25">
      <c r="A2" s="883" t="s">
        <v>4</v>
      </c>
      <c r="B2" s="884"/>
      <c r="C2" s="884"/>
      <c r="D2" s="884"/>
      <c r="E2" s="884"/>
      <c r="F2" s="884"/>
      <c r="G2" s="884"/>
      <c r="H2" s="884"/>
      <c r="I2" s="884"/>
      <c r="J2" s="884"/>
      <c r="K2" s="884"/>
      <c r="L2" s="884"/>
      <c r="M2" s="884"/>
      <c r="N2" s="884"/>
      <c r="O2" s="885"/>
    </row>
    <row r="3" spans="1:18" ht="20.25">
      <c r="A3" s="883" t="s">
        <v>1134</v>
      </c>
      <c r="B3" s="884"/>
      <c r="C3" s="884"/>
      <c r="D3" s="884"/>
      <c r="E3" s="884"/>
      <c r="F3" s="884"/>
      <c r="G3" s="884"/>
      <c r="H3" s="884"/>
      <c r="I3" s="884"/>
      <c r="J3" s="884"/>
      <c r="K3" s="884"/>
      <c r="L3" s="884"/>
      <c r="M3" s="884"/>
      <c r="N3" s="884"/>
      <c r="O3" s="885"/>
    </row>
    <row r="4" spans="1:18" ht="18" customHeight="1">
      <c r="A4" s="891" t="s">
        <v>129</v>
      </c>
      <c r="B4" s="889" t="s">
        <v>6</v>
      </c>
      <c r="C4" s="889" t="s">
        <v>364</v>
      </c>
      <c r="D4" s="889" t="s">
        <v>9</v>
      </c>
      <c r="E4" s="889" t="s">
        <v>7</v>
      </c>
      <c r="F4" s="889" t="s">
        <v>106</v>
      </c>
      <c r="G4" s="889" t="s">
        <v>1210</v>
      </c>
      <c r="H4" s="889" t="s">
        <v>1211</v>
      </c>
      <c r="I4" s="889" t="s">
        <v>8</v>
      </c>
      <c r="J4" s="889" t="s">
        <v>223</v>
      </c>
      <c r="K4" s="889" t="s">
        <v>108</v>
      </c>
      <c r="L4" s="889" t="s">
        <v>836</v>
      </c>
      <c r="M4" s="886" t="s">
        <v>1273</v>
      </c>
      <c r="N4" s="887"/>
      <c r="O4" s="888"/>
      <c r="P4" s="141"/>
      <c r="Q4" s="141"/>
      <c r="R4" s="770"/>
    </row>
    <row r="5" spans="1:18" ht="27" customHeight="1">
      <c r="A5" s="892"/>
      <c r="B5" s="890"/>
      <c r="C5" s="890"/>
      <c r="D5" s="890"/>
      <c r="E5" s="890"/>
      <c r="F5" s="890"/>
      <c r="G5" s="890"/>
      <c r="H5" s="890"/>
      <c r="I5" s="890"/>
      <c r="J5" s="890"/>
      <c r="K5" s="890"/>
      <c r="L5" s="890"/>
      <c r="M5" s="784" t="s">
        <v>1228</v>
      </c>
      <c r="N5" s="784" t="s">
        <v>1274</v>
      </c>
      <c r="O5" s="784" t="s">
        <v>1275</v>
      </c>
      <c r="P5" s="141"/>
      <c r="Q5" s="141"/>
      <c r="R5" s="770"/>
    </row>
    <row r="6" spans="1:18" s="801" customFormat="1">
      <c r="A6" s="794">
        <v>1</v>
      </c>
      <c r="B6" s="794">
        <v>2</v>
      </c>
      <c r="C6" s="794">
        <v>3</v>
      </c>
      <c r="D6" s="794">
        <v>4</v>
      </c>
      <c r="E6" s="794">
        <v>5</v>
      </c>
      <c r="F6" s="794">
        <v>6</v>
      </c>
      <c r="G6" s="794">
        <v>7</v>
      </c>
      <c r="H6" s="794">
        <v>8</v>
      </c>
      <c r="I6" s="794">
        <v>9</v>
      </c>
      <c r="J6" s="794">
        <v>10</v>
      </c>
      <c r="K6" s="792">
        <v>11</v>
      </c>
      <c r="L6" s="794">
        <v>12</v>
      </c>
      <c r="M6" s="794"/>
      <c r="N6" s="794"/>
      <c r="O6" s="797"/>
      <c r="P6" s="800"/>
    </row>
    <row r="7" spans="1:18" ht="20.25">
      <c r="A7" s="756" t="s">
        <v>213</v>
      </c>
      <c r="B7" s="756"/>
      <c r="C7" s="756"/>
      <c r="D7" s="756"/>
      <c r="E7" s="756"/>
      <c r="F7" s="756"/>
      <c r="G7" s="756"/>
      <c r="H7" s="756"/>
      <c r="I7" s="756"/>
      <c r="J7" s="756"/>
      <c r="K7" s="756"/>
      <c r="L7" s="756"/>
      <c r="M7" s="757"/>
      <c r="N7" s="757"/>
      <c r="O7" s="758"/>
    </row>
    <row r="8" spans="1:18" ht="18">
      <c r="B8" s="751" t="s">
        <v>1537</v>
      </c>
      <c r="C8" s="210"/>
      <c r="D8" s="210"/>
      <c r="E8" s="210"/>
      <c r="F8" s="210"/>
      <c r="G8" s="210"/>
      <c r="H8" s="210"/>
      <c r="I8" s="210"/>
      <c r="J8" s="210"/>
      <c r="K8" s="269"/>
      <c r="L8" s="210"/>
      <c r="M8" s="210"/>
      <c r="N8" s="210"/>
      <c r="O8" s="316"/>
    </row>
    <row r="9" spans="1:18" ht="17.25" customHeight="1">
      <c r="B9" s="785"/>
      <c r="C9" s="786" t="s">
        <v>871</v>
      </c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316"/>
    </row>
    <row r="10" spans="1:18" ht="22.5">
      <c r="A10" s="101">
        <v>1</v>
      </c>
      <c r="B10" s="269" t="s">
        <v>10</v>
      </c>
      <c r="C10" s="143" t="s">
        <v>356</v>
      </c>
      <c r="D10" s="303" t="s">
        <v>1270</v>
      </c>
      <c r="E10" s="210">
        <v>5</v>
      </c>
      <c r="F10" s="210">
        <v>30</v>
      </c>
      <c r="G10" s="210">
        <v>2</v>
      </c>
      <c r="H10" s="210">
        <f t="shared" ref="H10:H12" si="0">G10*F10</f>
        <v>60</v>
      </c>
      <c r="I10" s="210">
        <f t="shared" ref="I10:I12" si="1">H10*E10</f>
        <v>300</v>
      </c>
      <c r="J10" s="271">
        <f>(P10*I10)/100000</f>
        <v>5.25</v>
      </c>
      <c r="K10" s="272" t="s">
        <v>296</v>
      </c>
      <c r="L10" s="771">
        <v>41487</v>
      </c>
      <c r="M10" s="315">
        <v>1220</v>
      </c>
      <c r="N10" s="315">
        <v>898</v>
      </c>
      <c r="O10" s="315">
        <f>M10-N10</f>
        <v>322</v>
      </c>
      <c r="P10" s="304">
        <v>1750</v>
      </c>
    </row>
    <row r="11" spans="1:18" ht="22.5">
      <c r="A11" s="101">
        <f>A10+1</f>
        <v>2</v>
      </c>
      <c r="B11" s="269" t="s">
        <v>214</v>
      </c>
      <c r="C11" s="143" t="s">
        <v>441</v>
      </c>
      <c r="D11" s="303" t="s">
        <v>1220</v>
      </c>
      <c r="E11" s="210">
        <v>5</v>
      </c>
      <c r="F11" s="210">
        <v>30</v>
      </c>
      <c r="G11" s="210">
        <v>1</v>
      </c>
      <c r="H11" s="210">
        <f t="shared" si="0"/>
        <v>30</v>
      </c>
      <c r="I11" s="210">
        <f t="shared" si="1"/>
        <v>150</v>
      </c>
      <c r="J11" s="271">
        <f>(P11*I11)/100000</f>
        <v>2.625</v>
      </c>
      <c r="K11" s="272" t="s">
        <v>296</v>
      </c>
      <c r="L11" s="771">
        <v>41487</v>
      </c>
      <c r="M11" s="315">
        <v>108</v>
      </c>
      <c r="N11" s="315">
        <v>28</v>
      </c>
      <c r="O11" s="315">
        <f t="shared" ref="O11:O26" si="2">M11-N11</f>
        <v>80</v>
      </c>
      <c r="P11" s="304">
        <v>1750</v>
      </c>
    </row>
    <row r="12" spans="1:18" ht="25.5">
      <c r="A12" s="101">
        <f t="shared" ref="A12" si="3">A11+1</f>
        <v>3</v>
      </c>
      <c r="B12" s="269" t="s">
        <v>300</v>
      </c>
      <c r="C12" s="143" t="s">
        <v>876</v>
      </c>
      <c r="D12" s="759" t="s">
        <v>1213</v>
      </c>
      <c r="E12" s="210">
        <v>1</v>
      </c>
      <c r="F12" s="210">
        <v>25</v>
      </c>
      <c r="G12" s="210">
        <v>14</v>
      </c>
      <c r="H12" s="210">
        <f t="shared" si="0"/>
        <v>350</v>
      </c>
      <c r="I12" s="210">
        <f t="shared" si="1"/>
        <v>350</v>
      </c>
      <c r="J12" s="271">
        <f>P12*I12/100000</f>
        <v>7</v>
      </c>
      <c r="K12" s="272" t="s">
        <v>296</v>
      </c>
      <c r="L12" s="760" t="s">
        <v>1138</v>
      </c>
      <c r="M12" s="315">
        <v>701</v>
      </c>
      <c r="N12" s="315">
        <v>101</v>
      </c>
      <c r="O12" s="315">
        <f t="shared" si="2"/>
        <v>600</v>
      </c>
      <c r="P12" s="304">
        <v>2000</v>
      </c>
      <c r="Q12" s="753" t="s">
        <v>1127</v>
      </c>
    </row>
    <row r="13" spans="1:18" ht="16.5" customHeight="1">
      <c r="A13" s="101"/>
      <c r="B13" s="785"/>
      <c r="C13" s="786" t="s">
        <v>872</v>
      </c>
      <c r="D13" s="210"/>
      <c r="E13" s="210"/>
      <c r="F13" s="210"/>
      <c r="G13" s="210"/>
      <c r="H13" s="210"/>
      <c r="I13" s="210"/>
      <c r="J13" s="210"/>
      <c r="K13" s="272"/>
      <c r="L13" s="210"/>
      <c r="M13" s="210"/>
      <c r="N13" s="210"/>
      <c r="O13" s="315"/>
    </row>
    <row r="14" spans="1:18" ht="24">
      <c r="A14" s="101">
        <f>A12+1</f>
        <v>4</v>
      </c>
      <c r="B14" s="210" t="s">
        <v>15</v>
      </c>
      <c r="C14" s="143" t="s">
        <v>319</v>
      </c>
      <c r="D14" s="303" t="s">
        <v>1226</v>
      </c>
      <c r="E14" s="210">
        <v>5</v>
      </c>
      <c r="F14" s="210">
        <v>20</v>
      </c>
      <c r="G14" s="210">
        <v>4</v>
      </c>
      <c r="H14" s="210">
        <f t="shared" ref="H14:H19" si="4">G14*F14</f>
        <v>80</v>
      </c>
      <c r="I14" s="210">
        <f t="shared" ref="I14:I19" si="5">H14*E14</f>
        <v>400</v>
      </c>
      <c r="J14" s="271">
        <f t="shared" ref="J14:J20" si="6">(P14*I14)/100000</f>
        <v>10</v>
      </c>
      <c r="K14" s="272" t="s">
        <v>296</v>
      </c>
      <c r="L14" s="753" t="s">
        <v>946</v>
      </c>
      <c r="M14" s="315">
        <v>1203</v>
      </c>
      <c r="N14" s="101">
        <v>580</v>
      </c>
      <c r="O14" s="315">
        <f t="shared" si="2"/>
        <v>623</v>
      </c>
      <c r="P14" s="304">
        <v>2500</v>
      </c>
      <c r="R14" s="210"/>
    </row>
    <row r="15" spans="1:18" ht="24">
      <c r="A15" s="101">
        <f t="shared" ref="A15:A20" si="7">A14+1</f>
        <v>5</v>
      </c>
      <c r="B15" s="210" t="s">
        <v>436</v>
      </c>
      <c r="C15" s="143" t="s">
        <v>442</v>
      </c>
      <c r="D15" s="303" t="s">
        <v>1226</v>
      </c>
      <c r="E15" s="210">
        <v>5</v>
      </c>
      <c r="F15" s="210">
        <v>20</v>
      </c>
      <c r="G15" s="210">
        <v>4</v>
      </c>
      <c r="H15" s="210">
        <f t="shared" si="4"/>
        <v>80</v>
      </c>
      <c r="I15" s="210">
        <f t="shared" si="5"/>
        <v>400</v>
      </c>
      <c r="J15" s="271">
        <f t="shared" si="6"/>
        <v>10</v>
      </c>
      <c r="K15" s="272" t="s">
        <v>296</v>
      </c>
      <c r="L15" s="753" t="s">
        <v>946</v>
      </c>
      <c r="M15" s="315">
        <v>1203</v>
      </c>
      <c r="N15" s="101">
        <v>111</v>
      </c>
      <c r="O15" s="315">
        <f t="shared" si="2"/>
        <v>1092</v>
      </c>
      <c r="P15" s="304">
        <v>2500</v>
      </c>
    </row>
    <row r="16" spans="1:18" ht="24">
      <c r="A16" s="101">
        <f t="shared" si="7"/>
        <v>6</v>
      </c>
      <c r="B16" s="210" t="s">
        <v>935</v>
      </c>
      <c r="C16" s="143" t="s">
        <v>1575</v>
      </c>
      <c r="D16" s="303" t="s">
        <v>1218</v>
      </c>
      <c r="E16" s="210">
        <v>5</v>
      </c>
      <c r="F16" s="210">
        <v>30</v>
      </c>
      <c r="G16" s="210">
        <v>1</v>
      </c>
      <c r="H16" s="210">
        <f t="shared" si="4"/>
        <v>30</v>
      </c>
      <c r="I16" s="210">
        <f t="shared" si="5"/>
        <v>150</v>
      </c>
      <c r="J16" s="271">
        <f t="shared" si="6"/>
        <v>3.45</v>
      </c>
      <c r="K16" s="272" t="s">
        <v>296</v>
      </c>
      <c r="L16" s="753" t="s">
        <v>946</v>
      </c>
      <c r="M16" s="315">
        <f>(72+165+485+485)*0.6</f>
        <v>724.19999999999993</v>
      </c>
      <c r="N16" s="101">
        <v>200</v>
      </c>
      <c r="O16" s="315">
        <f t="shared" si="2"/>
        <v>524.19999999999993</v>
      </c>
      <c r="P16" s="304">
        <v>2300</v>
      </c>
    </row>
    <row r="17" spans="1:18" ht="24">
      <c r="A17" s="101">
        <f t="shared" si="7"/>
        <v>7</v>
      </c>
      <c r="B17" s="210" t="s">
        <v>877</v>
      </c>
      <c r="C17" s="143" t="s">
        <v>1574</v>
      </c>
      <c r="D17" s="303" t="s">
        <v>1218</v>
      </c>
      <c r="E17" s="210">
        <v>5</v>
      </c>
      <c r="F17" s="210">
        <v>30</v>
      </c>
      <c r="G17" s="210">
        <v>2</v>
      </c>
      <c r="H17" s="210">
        <f t="shared" si="4"/>
        <v>60</v>
      </c>
      <c r="I17" s="210">
        <f t="shared" si="5"/>
        <v>300</v>
      </c>
      <c r="J17" s="271">
        <f t="shared" si="6"/>
        <v>6.9</v>
      </c>
      <c r="K17" s="272" t="s">
        <v>296</v>
      </c>
      <c r="L17" s="753" t="s">
        <v>946</v>
      </c>
      <c r="M17" s="315">
        <f>(72+165+485+485)*0.6</f>
        <v>724.19999999999993</v>
      </c>
      <c r="N17" s="101">
        <v>258</v>
      </c>
      <c r="O17" s="315">
        <f t="shared" si="2"/>
        <v>466.19999999999993</v>
      </c>
      <c r="P17" s="304">
        <v>2300</v>
      </c>
      <c r="Q17" s="753">
        <v>4</v>
      </c>
    </row>
    <row r="18" spans="1:18" ht="24">
      <c r="A18" s="101">
        <f t="shared" si="7"/>
        <v>8</v>
      </c>
      <c r="B18" s="210" t="s">
        <v>935</v>
      </c>
      <c r="C18" s="143" t="s">
        <v>1573</v>
      </c>
      <c r="D18" s="303" t="s">
        <v>1217</v>
      </c>
      <c r="E18" s="210">
        <v>5</v>
      </c>
      <c r="F18" s="210">
        <v>30</v>
      </c>
      <c r="G18" s="210">
        <v>2</v>
      </c>
      <c r="H18" s="210">
        <f t="shared" si="4"/>
        <v>60</v>
      </c>
      <c r="I18" s="210">
        <f t="shared" si="5"/>
        <v>300</v>
      </c>
      <c r="J18" s="271">
        <f t="shared" si="6"/>
        <v>6</v>
      </c>
      <c r="K18" s="272" t="s">
        <v>296</v>
      </c>
      <c r="L18" s="772">
        <v>41579</v>
      </c>
      <c r="M18" s="315">
        <v>1649</v>
      </c>
      <c r="N18" s="101">
        <v>0</v>
      </c>
      <c r="O18" s="315">
        <f t="shared" si="2"/>
        <v>1649</v>
      </c>
      <c r="P18" s="304">
        <v>2000</v>
      </c>
    </row>
    <row r="19" spans="1:18">
      <c r="A19" s="101">
        <f t="shared" si="7"/>
        <v>9</v>
      </c>
      <c r="B19" s="210" t="s">
        <v>440</v>
      </c>
      <c r="C19" s="143" t="s">
        <v>439</v>
      </c>
      <c r="D19" s="303" t="s">
        <v>1214</v>
      </c>
      <c r="E19" s="210">
        <v>2</v>
      </c>
      <c r="F19" s="210">
        <v>30</v>
      </c>
      <c r="G19" s="210">
        <v>1</v>
      </c>
      <c r="H19" s="210">
        <f t="shared" si="4"/>
        <v>30</v>
      </c>
      <c r="I19" s="210">
        <f t="shared" si="5"/>
        <v>60</v>
      </c>
      <c r="J19" s="271">
        <f t="shared" si="6"/>
        <v>1.2</v>
      </c>
      <c r="K19" s="272" t="s">
        <v>296</v>
      </c>
      <c r="L19" s="753" t="s">
        <v>946</v>
      </c>
      <c r="M19" s="315">
        <v>2877</v>
      </c>
      <c r="N19" s="101">
        <v>0</v>
      </c>
      <c r="O19" s="315">
        <f t="shared" si="2"/>
        <v>2877</v>
      </c>
      <c r="P19" s="304">
        <v>2000</v>
      </c>
    </row>
    <row r="20" spans="1:18">
      <c r="A20" s="101">
        <f t="shared" si="7"/>
        <v>10</v>
      </c>
      <c r="B20" s="210" t="s">
        <v>1216</v>
      </c>
      <c r="C20" s="143" t="s">
        <v>1576</v>
      </c>
      <c r="D20" s="303" t="s">
        <v>1215</v>
      </c>
      <c r="E20" s="210">
        <v>5</v>
      </c>
      <c r="F20" s="210">
        <v>20</v>
      </c>
      <c r="G20" s="210">
        <v>2</v>
      </c>
      <c r="H20" s="210">
        <f t="shared" ref="H20" si="8">G20*F20</f>
        <v>40</v>
      </c>
      <c r="I20" s="210">
        <f t="shared" ref="I20" si="9">H20*E20</f>
        <v>200</v>
      </c>
      <c r="J20" s="271">
        <f t="shared" si="6"/>
        <v>4.5</v>
      </c>
      <c r="K20" s="272" t="s">
        <v>296</v>
      </c>
      <c r="L20" s="772">
        <v>41579</v>
      </c>
      <c r="M20" s="315">
        <v>64</v>
      </c>
      <c r="N20" s="101">
        <v>20</v>
      </c>
      <c r="O20" s="315">
        <f t="shared" si="2"/>
        <v>44</v>
      </c>
      <c r="P20" s="304">
        <v>2250</v>
      </c>
    </row>
    <row r="21" spans="1:18" ht="17.25" customHeight="1">
      <c r="A21" s="101"/>
      <c r="B21" s="787"/>
      <c r="C21" s="786" t="s">
        <v>875</v>
      </c>
      <c r="D21" s="773"/>
      <c r="E21" s="210"/>
      <c r="F21" s="210"/>
      <c r="G21" s="210"/>
      <c r="H21" s="210"/>
      <c r="I21" s="210"/>
      <c r="J21" s="210"/>
      <c r="K21" s="272"/>
      <c r="L21" s="210"/>
      <c r="M21" s="315"/>
      <c r="N21" s="210"/>
      <c r="O21" s="315"/>
    </row>
    <row r="22" spans="1:18" ht="25.5">
      <c r="A22" s="101">
        <f>A20+1</f>
        <v>11</v>
      </c>
      <c r="B22" s="210" t="s">
        <v>435</v>
      </c>
      <c r="C22" s="143" t="s">
        <v>231</v>
      </c>
      <c r="D22" s="303" t="s">
        <v>1227</v>
      </c>
      <c r="E22" s="210">
        <v>5</v>
      </c>
      <c r="F22" s="210">
        <v>16</v>
      </c>
      <c r="G22" s="210">
        <v>6</v>
      </c>
      <c r="H22" s="210">
        <f>G22*F22</f>
        <v>96</v>
      </c>
      <c r="I22" s="210">
        <f>H22*E22</f>
        <v>480</v>
      </c>
      <c r="J22" s="271">
        <f>(P22*I22)/100000</f>
        <v>15.5664</v>
      </c>
      <c r="K22" s="272" t="s">
        <v>296</v>
      </c>
      <c r="L22" s="761" t="s">
        <v>1138</v>
      </c>
      <c r="M22" s="315">
        <v>1333</v>
      </c>
      <c r="N22" s="101">
        <v>277</v>
      </c>
      <c r="O22" s="315">
        <f t="shared" si="2"/>
        <v>1056</v>
      </c>
      <c r="P22" s="304">
        <v>3243</v>
      </c>
      <c r="Q22" s="774" t="s">
        <v>1128</v>
      </c>
    </row>
    <row r="23" spans="1:18" ht="25.5">
      <c r="A23" s="101">
        <f>A22+1</f>
        <v>12</v>
      </c>
      <c r="B23" s="210" t="s">
        <v>1271</v>
      </c>
      <c r="C23" s="143" t="s">
        <v>1272</v>
      </c>
      <c r="D23" s="303" t="s">
        <v>1546</v>
      </c>
      <c r="E23" s="210">
        <v>3</v>
      </c>
      <c r="F23" s="210">
        <v>16</v>
      </c>
      <c r="G23" s="210">
        <v>8</v>
      </c>
      <c r="H23" s="210">
        <f>G23*F23</f>
        <v>128</v>
      </c>
      <c r="I23" s="210">
        <f>H23*E23</f>
        <v>384</v>
      </c>
      <c r="J23" s="271">
        <f>(P23*I23)/100000</f>
        <v>12.288</v>
      </c>
      <c r="K23" s="272" t="s">
        <v>296</v>
      </c>
      <c r="L23" s="761" t="s">
        <v>1138</v>
      </c>
      <c r="M23" s="315">
        <v>2128</v>
      </c>
      <c r="N23" s="101">
        <v>500</v>
      </c>
      <c r="O23" s="315">
        <f t="shared" si="2"/>
        <v>1628</v>
      </c>
      <c r="P23" s="304">
        <v>3200</v>
      </c>
      <c r="Q23" s="774"/>
    </row>
    <row r="24" spans="1:18" ht="18">
      <c r="A24" s="101"/>
      <c r="B24" s="787"/>
      <c r="C24" s="786" t="s">
        <v>873</v>
      </c>
      <c r="D24" s="210"/>
      <c r="E24" s="210"/>
      <c r="F24" s="210"/>
      <c r="G24" s="210"/>
      <c r="H24" s="210"/>
      <c r="I24" s="210"/>
      <c r="J24" s="306"/>
      <c r="K24" s="272"/>
      <c r="L24" s="210"/>
      <c r="M24" s="210"/>
      <c r="N24" s="210"/>
      <c r="O24" s="315"/>
    </row>
    <row r="25" spans="1:18" ht="27" customHeight="1">
      <c r="A25" s="101">
        <f>A23+1</f>
        <v>13</v>
      </c>
      <c r="B25" s="269" t="s">
        <v>1577</v>
      </c>
      <c r="C25" s="143" t="s">
        <v>229</v>
      </c>
      <c r="D25" s="303" t="s">
        <v>207</v>
      </c>
      <c r="E25" s="210">
        <v>3</v>
      </c>
      <c r="F25" s="210">
        <v>30</v>
      </c>
      <c r="G25" s="210">
        <v>2</v>
      </c>
      <c r="H25" s="210">
        <f>G25*F25</f>
        <v>60</v>
      </c>
      <c r="I25" s="210">
        <f>H25*E25</f>
        <v>180</v>
      </c>
      <c r="J25" s="271">
        <f>(P25*I25)/100000</f>
        <v>3.06</v>
      </c>
      <c r="K25" s="272" t="s">
        <v>296</v>
      </c>
      <c r="L25" s="762" t="s">
        <v>1138</v>
      </c>
      <c r="M25" s="315">
        <v>1628</v>
      </c>
      <c r="N25" s="101">
        <v>180</v>
      </c>
      <c r="O25" s="315">
        <f t="shared" si="2"/>
        <v>1448</v>
      </c>
      <c r="P25" s="304">
        <v>1700</v>
      </c>
    </row>
    <row r="26" spans="1:18" ht="24">
      <c r="A26" s="101">
        <f>A25+1</f>
        <v>14</v>
      </c>
      <c r="B26" s="269" t="s">
        <v>1578</v>
      </c>
      <c r="C26" s="143" t="s">
        <v>1579</v>
      </c>
      <c r="D26" s="303" t="s">
        <v>1276</v>
      </c>
      <c r="E26" s="210">
        <v>3</v>
      </c>
      <c r="F26" s="210">
        <v>30</v>
      </c>
      <c r="G26" s="210">
        <v>2</v>
      </c>
      <c r="H26" s="210">
        <f>G26*F26</f>
        <v>60</v>
      </c>
      <c r="I26" s="210">
        <f>H26*E26</f>
        <v>180</v>
      </c>
      <c r="J26" s="306">
        <f>(P26*I26)/100000</f>
        <v>3.06</v>
      </c>
      <c r="K26" s="272" t="s">
        <v>296</v>
      </c>
      <c r="L26" s="763">
        <v>41730</v>
      </c>
      <c r="M26" s="315">
        <v>678</v>
      </c>
      <c r="N26" s="101">
        <v>0</v>
      </c>
      <c r="O26" s="315">
        <f t="shared" si="2"/>
        <v>678</v>
      </c>
      <c r="P26" s="304">
        <v>1700</v>
      </c>
    </row>
    <row r="27" spans="1:18" ht="5.25" customHeight="1">
      <c r="A27" s="101"/>
      <c r="B27" s="751"/>
      <c r="C27" s="274"/>
      <c r="D27" s="210"/>
      <c r="E27" s="210"/>
      <c r="F27" s="210"/>
      <c r="G27" s="210"/>
      <c r="H27" s="210"/>
      <c r="I27" s="210"/>
      <c r="J27" s="210"/>
      <c r="K27" s="272"/>
      <c r="L27" s="210"/>
      <c r="M27" s="210"/>
      <c r="N27" s="210"/>
      <c r="O27" s="316"/>
    </row>
    <row r="28" spans="1:18">
      <c r="A28" s="821"/>
      <c r="B28" s="794" t="s">
        <v>413</v>
      </c>
      <c r="C28" s="794"/>
      <c r="D28" s="794"/>
      <c r="E28" s="794"/>
      <c r="F28" s="794"/>
      <c r="G28" s="822">
        <f>SUM(G11:G17)</f>
        <v>26</v>
      </c>
      <c r="H28" s="822">
        <f>SUM(H11:H17)</f>
        <v>630</v>
      </c>
      <c r="I28" s="822">
        <f>SUM(I11:I17)</f>
        <v>1750</v>
      </c>
      <c r="J28" s="796">
        <f>SUM(J10:J26)</f>
        <v>90.8994</v>
      </c>
      <c r="K28" s="792"/>
      <c r="L28" s="794"/>
      <c r="M28" s="794"/>
      <c r="N28" s="794"/>
      <c r="O28" s="797"/>
      <c r="P28" s="798"/>
    </row>
    <row r="29" spans="1:18" ht="20.25">
      <c r="B29" s="750" t="s">
        <v>1541</v>
      </c>
      <c r="C29" s="314"/>
      <c r="D29" s="314"/>
      <c r="E29" s="314"/>
      <c r="F29" s="314"/>
      <c r="G29" s="314"/>
      <c r="H29" s="314"/>
      <c r="I29" s="314"/>
      <c r="J29" s="314"/>
      <c r="K29" s="279"/>
      <c r="L29" s="314"/>
      <c r="M29" s="754"/>
      <c r="N29" s="754"/>
      <c r="O29" s="775"/>
    </row>
    <row r="30" spans="1:18" ht="20.25">
      <c r="B30" s="789"/>
      <c r="C30" s="790" t="s">
        <v>872</v>
      </c>
      <c r="D30" s="314"/>
      <c r="E30" s="314"/>
      <c r="F30" s="314"/>
      <c r="G30" s="314"/>
      <c r="H30" s="314"/>
      <c r="I30" s="314"/>
      <c r="J30" s="314"/>
      <c r="K30" s="314"/>
      <c r="L30" s="314"/>
      <c r="M30" s="754"/>
      <c r="N30" s="754"/>
      <c r="O30" s="775"/>
    </row>
    <row r="31" spans="1:18" ht="25.5">
      <c r="A31" s="101">
        <v>1</v>
      </c>
      <c r="B31" s="307" t="s">
        <v>204</v>
      </c>
      <c r="C31" s="308" t="s">
        <v>369</v>
      </c>
      <c r="D31" s="303" t="s">
        <v>208</v>
      </c>
      <c r="E31" s="309">
        <v>5</v>
      </c>
      <c r="F31" s="309">
        <v>30</v>
      </c>
      <c r="G31" s="309">
        <v>8</v>
      </c>
      <c r="H31" s="309">
        <f>G31*F31</f>
        <v>240</v>
      </c>
      <c r="I31" s="309">
        <f>H31*E31</f>
        <v>1200</v>
      </c>
      <c r="J31" s="310">
        <f>I31*P31/100000</f>
        <v>19.5</v>
      </c>
      <c r="K31" s="311" t="s">
        <v>306</v>
      </c>
      <c r="L31" s="761" t="s">
        <v>1135</v>
      </c>
      <c r="M31" s="315">
        <v>1993</v>
      </c>
      <c r="N31" s="101">
        <v>400</v>
      </c>
      <c r="O31" s="270">
        <f>M31-N31</f>
        <v>1593</v>
      </c>
      <c r="P31" s="312">
        <v>1625</v>
      </c>
      <c r="Q31" s="753">
        <v>19.25</v>
      </c>
      <c r="R31" s="753">
        <v>1625</v>
      </c>
    </row>
    <row r="32" spans="1:18" ht="25.5">
      <c r="A32" s="101">
        <f>A31+1</f>
        <v>2</v>
      </c>
      <c r="B32" s="307" t="s">
        <v>443</v>
      </c>
      <c r="C32" s="308" t="s">
        <v>437</v>
      </c>
      <c r="D32" s="303" t="s">
        <v>208</v>
      </c>
      <c r="E32" s="309">
        <v>5</v>
      </c>
      <c r="F32" s="309">
        <v>30</v>
      </c>
      <c r="G32" s="309">
        <v>8</v>
      </c>
      <c r="H32" s="309">
        <f>G32*F32</f>
        <v>240</v>
      </c>
      <c r="I32" s="309">
        <f>H32*E32</f>
        <v>1200</v>
      </c>
      <c r="J32" s="310">
        <f>I32*P32/100000</f>
        <v>19.5</v>
      </c>
      <c r="K32" s="311" t="s">
        <v>306</v>
      </c>
      <c r="L32" s="761" t="s">
        <v>1135</v>
      </c>
      <c r="M32" s="315">
        <v>1993</v>
      </c>
      <c r="N32" s="101">
        <v>560</v>
      </c>
      <c r="O32" s="270">
        <f t="shared" ref="O32:O36" si="10">M32-N32</f>
        <v>1433</v>
      </c>
      <c r="P32" s="312">
        <v>1625</v>
      </c>
      <c r="Q32" s="753">
        <v>19.25</v>
      </c>
      <c r="R32" s="753">
        <v>1625</v>
      </c>
    </row>
    <row r="33" spans="1:16" ht="25.5">
      <c r="A33" s="101">
        <f t="shared" ref="A33:A36" si="11">A32+1</f>
        <v>3</v>
      </c>
      <c r="B33" s="311" t="s">
        <v>15</v>
      </c>
      <c r="C33" s="311" t="s">
        <v>319</v>
      </c>
      <c r="D33" s="313" t="s">
        <v>207</v>
      </c>
      <c r="E33" s="309">
        <v>5</v>
      </c>
      <c r="F33" s="309">
        <v>30</v>
      </c>
      <c r="G33" s="309">
        <v>4</v>
      </c>
      <c r="H33" s="309">
        <f>G33*F33</f>
        <v>120</v>
      </c>
      <c r="I33" s="309">
        <f>H33*E33</f>
        <v>600</v>
      </c>
      <c r="J33" s="310">
        <f>I33*P33/100000</f>
        <v>9.6</v>
      </c>
      <c r="K33" s="311" t="s">
        <v>306</v>
      </c>
      <c r="L33" s="761" t="s">
        <v>1135</v>
      </c>
      <c r="M33" s="315">
        <v>1628</v>
      </c>
      <c r="N33" s="101">
        <v>380</v>
      </c>
      <c r="O33" s="270">
        <f t="shared" si="10"/>
        <v>1248</v>
      </c>
      <c r="P33" s="312">
        <v>1600</v>
      </c>
    </row>
    <row r="34" spans="1:16" ht="25.5">
      <c r="A34" s="101">
        <f t="shared" si="11"/>
        <v>4</v>
      </c>
      <c r="B34" s="307" t="s">
        <v>438</v>
      </c>
      <c r="C34" s="308" t="s">
        <v>314</v>
      </c>
      <c r="D34" s="313" t="s">
        <v>207</v>
      </c>
      <c r="E34" s="309">
        <v>5</v>
      </c>
      <c r="F34" s="309">
        <v>30</v>
      </c>
      <c r="G34" s="309">
        <v>8</v>
      </c>
      <c r="H34" s="309">
        <f>G34*F34</f>
        <v>240</v>
      </c>
      <c r="I34" s="309">
        <f>H34*E34</f>
        <v>1200</v>
      </c>
      <c r="J34" s="310">
        <f>(I34*P34)/100000</f>
        <v>19.8</v>
      </c>
      <c r="K34" s="311" t="s">
        <v>306</v>
      </c>
      <c r="L34" s="761" t="s">
        <v>1135</v>
      </c>
      <c r="M34" s="315">
        <v>1628</v>
      </c>
      <c r="N34" s="101">
        <v>455</v>
      </c>
      <c r="O34" s="270">
        <f t="shared" si="10"/>
        <v>1173</v>
      </c>
      <c r="P34" s="312">
        <v>1650</v>
      </c>
    </row>
    <row r="35" spans="1:16" ht="33.75">
      <c r="A35" s="101">
        <f t="shared" si="11"/>
        <v>5</v>
      </c>
      <c r="B35" s="307" t="s">
        <v>316</v>
      </c>
      <c r="C35" s="308" t="s">
        <v>444</v>
      </c>
      <c r="D35" s="303" t="s">
        <v>447</v>
      </c>
      <c r="E35" s="309">
        <v>1</v>
      </c>
      <c r="F35" s="309">
        <v>30</v>
      </c>
      <c r="G35" s="309">
        <v>30</v>
      </c>
      <c r="H35" s="309">
        <f t="shared" ref="H35:H36" si="12">G35*F35</f>
        <v>900</v>
      </c>
      <c r="I35" s="309">
        <f t="shared" ref="I35:I36" si="13">H35*E35</f>
        <v>900</v>
      </c>
      <c r="J35" s="310">
        <f>(P35*I35)/100000</f>
        <v>13.5</v>
      </c>
      <c r="K35" s="311" t="s">
        <v>306</v>
      </c>
      <c r="L35" s="761" t="s">
        <v>1135</v>
      </c>
      <c r="M35" s="315">
        <f>(72+165+485+485+1141+1993+100)*0.9</f>
        <v>3996.9</v>
      </c>
      <c r="N35" s="101">
        <v>1000</v>
      </c>
      <c r="O35" s="270">
        <f t="shared" si="10"/>
        <v>2996.9</v>
      </c>
      <c r="P35" s="312">
        <v>1500</v>
      </c>
    </row>
    <row r="36" spans="1:16" ht="39.75" customHeight="1">
      <c r="A36" s="101">
        <f t="shared" si="11"/>
        <v>6</v>
      </c>
      <c r="B36" s="307" t="s">
        <v>445</v>
      </c>
      <c r="C36" s="308" t="s">
        <v>1117</v>
      </c>
      <c r="D36" s="303" t="s">
        <v>447</v>
      </c>
      <c r="E36" s="309">
        <v>1</v>
      </c>
      <c r="F36" s="309">
        <v>30</v>
      </c>
      <c r="G36" s="309">
        <v>4</v>
      </c>
      <c r="H36" s="309">
        <f t="shared" si="12"/>
        <v>120</v>
      </c>
      <c r="I36" s="309">
        <f t="shared" si="13"/>
        <v>120</v>
      </c>
      <c r="J36" s="310">
        <f>(P36*I36)/100000</f>
        <v>2.202</v>
      </c>
      <c r="K36" s="311" t="s">
        <v>306</v>
      </c>
      <c r="L36" s="761" t="s">
        <v>1135</v>
      </c>
      <c r="M36" s="315">
        <f>(72+165+485+485+1141+1993+100)*0.9</f>
        <v>3996.9</v>
      </c>
      <c r="N36" s="101">
        <v>375</v>
      </c>
      <c r="O36" s="270">
        <f t="shared" si="10"/>
        <v>3621.9</v>
      </c>
      <c r="P36" s="312">
        <v>1835</v>
      </c>
    </row>
    <row r="37" spans="1:16" ht="6.75" customHeight="1">
      <c r="A37" s="309"/>
      <c r="B37" s="307"/>
      <c r="C37" s="308"/>
      <c r="D37" s="303"/>
      <c r="E37" s="309"/>
      <c r="F37" s="309"/>
      <c r="G37" s="309"/>
      <c r="H37" s="309"/>
      <c r="I37" s="309"/>
      <c r="J37" s="310"/>
      <c r="K37" s="311"/>
      <c r="L37" s="309"/>
      <c r="M37" s="309"/>
      <c r="N37" s="309"/>
      <c r="O37" s="317"/>
    </row>
    <row r="38" spans="1:16">
      <c r="A38" s="794"/>
      <c r="B38" s="794" t="s">
        <v>414</v>
      </c>
      <c r="C38" s="794"/>
      <c r="D38" s="794"/>
      <c r="E38" s="794"/>
      <c r="F38" s="794"/>
      <c r="G38" s="823">
        <f>SUM(G35:G36)</f>
        <v>34</v>
      </c>
      <c r="H38" s="823">
        <f>SUM(H31:H37)</f>
        <v>1860</v>
      </c>
      <c r="I38" s="823">
        <f>SUM(I31:I37)</f>
        <v>5220</v>
      </c>
      <c r="J38" s="824">
        <f>SUM(J31:J37)</f>
        <v>84.102000000000004</v>
      </c>
      <c r="K38" s="792"/>
      <c r="L38" s="794"/>
      <c r="M38" s="794"/>
      <c r="N38" s="794"/>
      <c r="O38" s="797"/>
    </row>
    <row r="39" spans="1:16" ht="21" customHeight="1">
      <c r="A39" s="110"/>
      <c r="B39" s="110" t="s">
        <v>1224</v>
      </c>
      <c r="C39" s="111"/>
      <c r="D39" s="111"/>
      <c r="E39" s="111"/>
      <c r="F39" s="111"/>
      <c r="G39" s="111">
        <f>G38+G28</f>
        <v>60</v>
      </c>
      <c r="H39" s="111">
        <f>H38+H28</f>
        <v>2490</v>
      </c>
      <c r="I39" s="111">
        <f>I38+I28</f>
        <v>6970</v>
      </c>
      <c r="J39" s="825">
        <f>J28+J38</f>
        <v>175.00139999999999</v>
      </c>
      <c r="K39" s="110" t="s">
        <v>217</v>
      </c>
      <c r="L39" s="111"/>
      <c r="M39" s="111"/>
      <c r="N39" s="111"/>
      <c r="O39" s="826"/>
    </row>
    <row r="40" spans="1:16" ht="20.25">
      <c r="A40" s="279" t="s">
        <v>230</v>
      </c>
      <c r="B40" s="314" t="s">
        <v>422</v>
      </c>
      <c r="C40" s="314"/>
      <c r="D40" s="314"/>
      <c r="E40" s="314"/>
      <c r="F40" s="314"/>
      <c r="G40" s="314"/>
      <c r="H40" s="314"/>
      <c r="I40" s="314"/>
      <c r="J40" s="314"/>
      <c r="K40" s="314"/>
      <c r="L40" s="114"/>
      <c r="M40" s="98"/>
      <c r="N40" s="98"/>
      <c r="O40" s="318"/>
    </row>
    <row r="41" spans="1:16" ht="20.25">
      <c r="A41" s="279"/>
      <c r="B41" s="793"/>
      <c r="C41" s="786" t="s">
        <v>871</v>
      </c>
      <c r="D41" s="314"/>
      <c r="E41" s="314"/>
      <c r="F41" s="314"/>
      <c r="G41" s="314"/>
      <c r="H41" s="314"/>
      <c r="I41" s="314"/>
      <c r="J41" s="314"/>
      <c r="K41" s="314"/>
      <c r="L41" s="114"/>
      <c r="M41" s="98"/>
      <c r="N41" s="98"/>
      <c r="O41" s="318"/>
    </row>
    <row r="42" spans="1:16" ht="25.5">
      <c r="A42" s="210">
        <v>1</v>
      </c>
      <c r="B42" s="764" t="s">
        <v>1229</v>
      </c>
      <c r="C42" s="143" t="s">
        <v>1517</v>
      </c>
      <c r="D42" s="765" t="s">
        <v>1231</v>
      </c>
      <c r="E42" s="210">
        <v>60</v>
      </c>
      <c r="F42" s="210">
        <v>35</v>
      </c>
      <c r="G42" s="210">
        <v>3</v>
      </c>
      <c r="H42" s="210">
        <f>G42*F42</f>
        <v>105</v>
      </c>
      <c r="I42" s="210">
        <f t="shared" ref="I42:I47" si="14">H42*E42</f>
        <v>6300</v>
      </c>
      <c r="J42" s="271">
        <f>40*G42</f>
        <v>120</v>
      </c>
      <c r="K42" s="143" t="s">
        <v>1162</v>
      </c>
      <c r="L42" s="761" t="s">
        <v>1232</v>
      </c>
      <c r="M42" s="210">
        <v>650</v>
      </c>
      <c r="N42" s="210">
        <v>568</v>
      </c>
      <c r="O42" s="210">
        <f>M42-N42</f>
        <v>82</v>
      </c>
      <c r="P42" s="776">
        <v>4200000</v>
      </c>
    </row>
    <row r="43" spans="1:16" ht="25.5">
      <c r="A43" s="210">
        <f>A42+1</f>
        <v>2</v>
      </c>
      <c r="B43" s="764" t="s">
        <v>1230</v>
      </c>
      <c r="C43" s="143" t="s">
        <v>1564</v>
      </c>
      <c r="D43" s="765" t="s">
        <v>207</v>
      </c>
      <c r="E43" s="210">
        <v>30</v>
      </c>
      <c r="F43" s="210">
        <v>35</v>
      </c>
      <c r="G43" s="210">
        <v>11</v>
      </c>
      <c r="H43" s="210">
        <f>G43*F43</f>
        <v>385</v>
      </c>
      <c r="I43" s="210">
        <f t="shared" si="14"/>
        <v>11550</v>
      </c>
      <c r="J43" s="271">
        <f>23.35*G43</f>
        <v>256.85000000000002</v>
      </c>
      <c r="K43" s="143" t="s">
        <v>273</v>
      </c>
      <c r="L43" s="761" t="s">
        <v>1233</v>
      </c>
      <c r="M43" s="210">
        <v>1628</v>
      </c>
      <c r="N43" s="210">
        <v>595</v>
      </c>
      <c r="O43" s="210">
        <f t="shared" ref="O43:O73" si="15">M43-N43</f>
        <v>1033</v>
      </c>
      <c r="P43" s="776">
        <v>233500</v>
      </c>
    </row>
    <row r="44" spans="1:16" ht="25.5">
      <c r="A44" s="210">
        <f t="shared" ref="A44:A47" si="16">A43+1</f>
        <v>3</v>
      </c>
      <c r="B44" s="269" t="s">
        <v>1133</v>
      </c>
      <c r="C44" s="143" t="s">
        <v>1131</v>
      </c>
      <c r="D44" s="303" t="s">
        <v>1225</v>
      </c>
      <c r="E44" s="210">
        <v>5</v>
      </c>
      <c r="F44" s="210">
        <v>25</v>
      </c>
      <c r="G44" s="210">
        <v>1</v>
      </c>
      <c r="H44" s="210">
        <f>G44*F44</f>
        <v>25</v>
      </c>
      <c r="I44" s="210">
        <f t="shared" si="14"/>
        <v>125</v>
      </c>
      <c r="J44" s="271">
        <f>P44*I44/100000</f>
        <v>3.75</v>
      </c>
      <c r="K44" s="142" t="s">
        <v>1132</v>
      </c>
      <c r="L44" s="761" t="s">
        <v>1234</v>
      </c>
      <c r="M44" s="315">
        <f>(125+72)*0.9</f>
        <v>177.3</v>
      </c>
      <c r="N44" s="210">
        <v>0</v>
      </c>
      <c r="O44" s="210">
        <f t="shared" si="15"/>
        <v>177.3</v>
      </c>
      <c r="P44" s="304">
        <v>3000</v>
      </c>
    </row>
    <row r="45" spans="1:16" ht="25.5">
      <c r="A45" s="210">
        <f t="shared" si="16"/>
        <v>4</v>
      </c>
      <c r="B45" s="269" t="s">
        <v>1113</v>
      </c>
      <c r="C45" s="143" t="s">
        <v>1112</v>
      </c>
      <c r="D45" s="759" t="s">
        <v>1236</v>
      </c>
      <c r="E45" s="210">
        <v>3</v>
      </c>
      <c r="F45" s="210">
        <v>25</v>
      </c>
      <c r="G45" s="210">
        <v>2</v>
      </c>
      <c r="H45" s="210">
        <f>G45*F45</f>
        <v>50</v>
      </c>
      <c r="I45" s="210">
        <f t="shared" si="14"/>
        <v>150</v>
      </c>
      <c r="J45" s="271">
        <f>P45*I45/100000</f>
        <v>5.25</v>
      </c>
      <c r="K45" s="142" t="s">
        <v>1132</v>
      </c>
      <c r="L45" s="761" t="s">
        <v>1234</v>
      </c>
      <c r="M45" s="315">
        <f>(25+70+125)*0.9</f>
        <v>198</v>
      </c>
      <c r="N45" s="210">
        <v>0</v>
      </c>
      <c r="O45" s="210">
        <f t="shared" si="15"/>
        <v>198</v>
      </c>
      <c r="P45" s="304">
        <v>3500</v>
      </c>
    </row>
    <row r="46" spans="1:16" ht="25.5">
      <c r="A46" s="210">
        <f t="shared" si="16"/>
        <v>5</v>
      </c>
      <c r="B46" s="269" t="s">
        <v>1116</v>
      </c>
      <c r="C46" s="752" t="s">
        <v>1518</v>
      </c>
      <c r="D46" s="759" t="s">
        <v>1236</v>
      </c>
      <c r="E46" s="101">
        <v>2</v>
      </c>
      <c r="F46" s="210">
        <v>25</v>
      </c>
      <c r="G46" s="210">
        <v>1</v>
      </c>
      <c r="H46" s="210">
        <v>25</v>
      </c>
      <c r="I46" s="210">
        <f t="shared" si="14"/>
        <v>50</v>
      </c>
      <c r="J46" s="271">
        <f>(I46*P46)/100000</f>
        <v>2</v>
      </c>
      <c r="K46" s="143" t="s">
        <v>212</v>
      </c>
      <c r="L46" s="761" t="s">
        <v>1234</v>
      </c>
      <c r="M46" s="315">
        <f>(25+70+125)*0.9</f>
        <v>198</v>
      </c>
      <c r="N46" s="210">
        <v>0</v>
      </c>
      <c r="O46" s="210">
        <f t="shared" si="15"/>
        <v>198</v>
      </c>
      <c r="P46" s="776">
        <v>4000</v>
      </c>
    </row>
    <row r="47" spans="1:16" ht="25.5">
      <c r="A47" s="210">
        <f t="shared" si="16"/>
        <v>6</v>
      </c>
      <c r="B47" s="269" t="s">
        <v>234</v>
      </c>
      <c r="C47" s="143" t="s">
        <v>1519</v>
      </c>
      <c r="D47" s="759" t="s">
        <v>1237</v>
      </c>
      <c r="E47" s="210">
        <v>3</v>
      </c>
      <c r="F47" s="210">
        <v>25</v>
      </c>
      <c r="G47" s="210">
        <v>1</v>
      </c>
      <c r="H47" s="210">
        <f>G47*F47</f>
        <v>25</v>
      </c>
      <c r="I47" s="210">
        <f t="shared" si="14"/>
        <v>75</v>
      </c>
      <c r="J47" s="271">
        <f>(I47*P47/100000)</f>
        <v>3</v>
      </c>
      <c r="K47" s="143" t="s">
        <v>296</v>
      </c>
      <c r="L47" s="761" t="s">
        <v>1234</v>
      </c>
      <c r="M47" s="315">
        <f>(70+125)*0.9</f>
        <v>175.5</v>
      </c>
      <c r="N47" s="210">
        <v>0</v>
      </c>
      <c r="O47" s="315">
        <f t="shared" si="15"/>
        <v>175.5</v>
      </c>
      <c r="P47" s="769">
        <v>4000</v>
      </c>
    </row>
    <row r="48" spans="1:16" ht="18.75" customHeight="1">
      <c r="A48" s="279"/>
      <c r="B48" s="793"/>
      <c r="C48" s="790" t="s">
        <v>872</v>
      </c>
      <c r="D48" s="314"/>
      <c r="E48" s="314"/>
      <c r="F48" s="314"/>
      <c r="G48" s="314"/>
      <c r="H48" s="314"/>
      <c r="I48" s="314"/>
      <c r="J48" s="314"/>
      <c r="K48" s="314"/>
      <c r="L48" s="114"/>
      <c r="M48" s="315"/>
      <c r="N48" s="210"/>
      <c r="O48" s="318"/>
    </row>
    <row r="49" spans="1:16" ht="25.5">
      <c r="A49" s="210">
        <f>A47+1</f>
        <v>7</v>
      </c>
      <c r="B49" s="272" t="s">
        <v>315</v>
      </c>
      <c r="C49" s="143" t="s">
        <v>1516</v>
      </c>
      <c r="D49" s="759" t="s">
        <v>227</v>
      </c>
      <c r="E49" s="210">
        <v>1</v>
      </c>
      <c r="F49" s="210">
        <v>30</v>
      </c>
      <c r="G49" s="210">
        <v>32</v>
      </c>
      <c r="H49" s="210">
        <f t="shared" ref="H49:H54" si="17">G49*F49</f>
        <v>960</v>
      </c>
      <c r="I49" s="210">
        <f t="shared" ref="I49:I54" si="18">H49*E49</f>
        <v>960</v>
      </c>
      <c r="J49" s="271">
        <f>P49*I49/100000</f>
        <v>14.4</v>
      </c>
      <c r="K49" s="269" t="s">
        <v>306</v>
      </c>
      <c r="L49" s="761" t="s">
        <v>1234</v>
      </c>
      <c r="M49" s="315">
        <v>3997</v>
      </c>
      <c r="N49" s="210">
        <v>375</v>
      </c>
      <c r="O49" s="315">
        <f t="shared" si="15"/>
        <v>3622</v>
      </c>
      <c r="P49" s="776">
        <v>1500</v>
      </c>
    </row>
    <row r="50" spans="1:16" ht="25.5">
      <c r="A50" s="210">
        <f>A49+1</f>
        <v>8</v>
      </c>
      <c r="B50" s="269" t="s">
        <v>877</v>
      </c>
      <c r="C50" s="143" t="s">
        <v>1520</v>
      </c>
      <c r="D50" s="303" t="s">
        <v>878</v>
      </c>
      <c r="E50" s="210">
        <v>3</v>
      </c>
      <c r="F50" s="210">
        <v>30</v>
      </c>
      <c r="G50" s="210">
        <v>14</v>
      </c>
      <c r="H50" s="210">
        <f t="shared" si="17"/>
        <v>420</v>
      </c>
      <c r="I50" s="210">
        <f t="shared" si="18"/>
        <v>1260</v>
      </c>
      <c r="J50" s="271">
        <f>P50*I50/100000</f>
        <v>25.2</v>
      </c>
      <c r="K50" s="269" t="s">
        <v>306</v>
      </c>
      <c r="L50" s="761" t="s">
        <v>1234</v>
      </c>
      <c r="M50" s="315">
        <v>724</v>
      </c>
      <c r="N50" s="210">
        <v>258</v>
      </c>
      <c r="O50" s="315">
        <f t="shared" si="15"/>
        <v>466</v>
      </c>
      <c r="P50" s="776">
        <v>2000</v>
      </c>
    </row>
    <row r="51" spans="1:16" ht="25.5">
      <c r="A51" s="210">
        <f t="shared" ref="A51:A57" si="19">A50+1</f>
        <v>9</v>
      </c>
      <c r="B51" s="269" t="s">
        <v>204</v>
      </c>
      <c r="C51" s="143" t="s">
        <v>1521</v>
      </c>
      <c r="D51" s="765" t="s">
        <v>208</v>
      </c>
      <c r="E51" s="210">
        <v>5</v>
      </c>
      <c r="F51" s="210">
        <v>30</v>
      </c>
      <c r="G51" s="210">
        <v>14</v>
      </c>
      <c r="H51" s="210">
        <f t="shared" si="17"/>
        <v>420</v>
      </c>
      <c r="I51" s="210">
        <f t="shared" si="18"/>
        <v>2100</v>
      </c>
      <c r="J51" s="271">
        <f t="shared" ref="J51:J57" si="20">(P51*I51)/100000</f>
        <v>33.6</v>
      </c>
      <c r="K51" s="143" t="s">
        <v>309</v>
      </c>
      <c r="L51" s="761" t="s">
        <v>574</v>
      </c>
      <c r="M51" s="315">
        <v>1993</v>
      </c>
      <c r="N51" s="315">
        <v>400</v>
      </c>
      <c r="O51" s="315">
        <f t="shared" si="15"/>
        <v>1593</v>
      </c>
      <c r="P51" s="769">
        <v>1600</v>
      </c>
    </row>
    <row r="52" spans="1:16" ht="25.5">
      <c r="A52" s="210">
        <f t="shared" si="19"/>
        <v>10</v>
      </c>
      <c r="B52" s="269" t="s">
        <v>205</v>
      </c>
      <c r="C52" s="143" t="s">
        <v>1522</v>
      </c>
      <c r="D52" s="765" t="s">
        <v>207</v>
      </c>
      <c r="E52" s="210">
        <v>5</v>
      </c>
      <c r="F52" s="210">
        <v>30</v>
      </c>
      <c r="G52" s="210">
        <v>14</v>
      </c>
      <c r="H52" s="210">
        <f t="shared" si="17"/>
        <v>420</v>
      </c>
      <c r="I52" s="210">
        <f t="shared" si="18"/>
        <v>2100</v>
      </c>
      <c r="J52" s="271">
        <f t="shared" si="20"/>
        <v>37.799999999999997</v>
      </c>
      <c r="K52" s="143" t="s">
        <v>306</v>
      </c>
      <c r="L52" s="761" t="s">
        <v>574</v>
      </c>
      <c r="M52" s="315">
        <v>1628</v>
      </c>
      <c r="N52" s="315">
        <v>455</v>
      </c>
      <c r="O52" s="315">
        <f t="shared" si="15"/>
        <v>1173</v>
      </c>
      <c r="P52" s="769">
        <v>1800</v>
      </c>
    </row>
    <row r="53" spans="1:16" ht="28.5" customHeight="1">
      <c r="A53" s="210">
        <f t="shared" si="19"/>
        <v>11</v>
      </c>
      <c r="B53" s="269" t="s">
        <v>206</v>
      </c>
      <c r="C53" s="143" t="s">
        <v>1523</v>
      </c>
      <c r="D53" s="303" t="s">
        <v>202</v>
      </c>
      <c r="E53" s="210">
        <v>5</v>
      </c>
      <c r="F53" s="210">
        <v>25</v>
      </c>
      <c r="G53" s="210">
        <v>14</v>
      </c>
      <c r="H53" s="210">
        <f t="shared" si="17"/>
        <v>350</v>
      </c>
      <c r="I53" s="210">
        <f t="shared" si="18"/>
        <v>1750</v>
      </c>
      <c r="J53" s="271">
        <f t="shared" si="20"/>
        <v>31.5</v>
      </c>
      <c r="K53" s="143" t="s">
        <v>306</v>
      </c>
      <c r="L53" s="761" t="s">
        <v>574</v>
      </c>
      <c r="M53" s="315">
        <v>2004</v>
      </c>
      <c r="N53" s="315">
        <v>225</v>
      </c>
      <c r="O53" s="315">
        <f t="shared" si="15"/>
        <v>1779</v>
      </c>
      <c r="P53" s="769">
        <v>1800</v>
      </c>
    </row>
    <row r="54" spans="1:16" ht="25.5">
      <c r="A54" s="210">
        <f t="shared" si="19"/>
        <v>12</v>
      </c>
      <c r="B54" s="269" t="s">
        <v>440</v>
      </c>
      <c r="C54" s="143" t="s">
        <v>1524</v>
      </c>
      <c r="D54" s="303" t="s">
        <v>1277</v>
      </c>
      <c r="E54" s="210">
        <v>2</v>
      </c>
      <c r="F54" s="210">
        <v>30</v>
      </c>
      <c r="G54" s="210">
        <v>2</v>
      </c>
      <c r="H54" s="210">
        <f t="shared" si="17"/>
        <v>60</v>
      </c>
      <c r="I54" s="210">
        <f t="shared" si="18"/>
        <v>120</v>
      </c>
      <c r="J54" s="271">
        <f t="shared" si="20"/>
        <v>2.16</v>
      </c>
      <c r="K54" s="269" t="s">
        <v>296</v>
      </c>
      <c r="L54" s="761" t="s">
        <v>574</v>
      </c>
      <c r="M54" s="315">
        <v>2877</v>
      </c>
      <c r="N54" s="315">
        <v>0</v>
      </c>
      <c r="O54" s="315">
        <f t="shared" si="15"/>
        <v>2877</v>
      </c>
      <c r="P54" s="304">
        <v>1800</v>
      </c>
    </row>
    <row r="55" spans="1:16" ht="24">
      <c r="A55" s="210">
        <f t="shared" si="19"/>
        <v>13</v>
      </c>
      <c r="B55" s="305" t="s">
        <v>1129</v>
      </c>
      <c r="C55" s="143" t="s">
        <v>319</v>
      </c>
      <c r="D55" s="303" t="s">
        <v>1212</v>
      </c>
      <c r="E55" s="210">
        <v>6</v>
      </c>
      <c r="F55" s="210">
        <v>22</v>
      </c>
      <c r="G55" s="210">
        <v>3</v>
      </c>
      <c r="H55" s="210">
        <f>G55*F55</f>
        <v>66</v>
      </c>
      <c r="I55" s="210">
        <f>H55*E55</f>
        <v>396</v>
      </c>
      <c r="J55" s="271">
        <f t="shared" si="20"/>
        <v>9.9</v>
      </c>
      <c r="K55" s="272" t="s">
        <v>296</v>
      </c>
      <c r="L55" s="753" t="s">
        <v>946</v>
      </c>
      <c r="M55" s="315">
        <v>64</v>
      </c>
      <c r="N55" s="101">
        <v>0</v>
      </c>
      <c r="O55" s="315">
        <f>M55-N55</f>
        <v>64</v>
      </c>
      <c r="P55" s="304">
        <v>2500</v>
      </c>
    </row>
    <row r="56" spans="1:16" ht="25.5">
      <c r="A56" s="210">
        <f t="shared" si="19"/>
        <v>14</v>
      </c>
      <c r="B56" s="765" t="s">
        <v>1534</v>
      </c>
      <c r="C56" s="143" t="s">
        <v>1532</v>
      </c>
      <c r="D56" s="303" t="s">
        <v>1533</v>
      </c>
      <c r="E56" s="210">
        <v>3</v>
      </c>
      <c r="F56" s="210">
        <v>30</v>
      </c>
      <c r="G56" s="210">
        <v>64</v>
      </c>
      <c r="H56" s="210">
        <f>G56*F56</f>
        <v>1920</v>
      </c>
      <c r="I56" s="210">
        <f>H56*E56</f>
        <v>5760</v>
      </c>
      <c r="J56" s="271">
        <f t="shared" si="20"/>
        <v>48.96</v>
      </c>
      <c r="K56" s="272" t="s">
        <v>1535</v>
      </c>
      <c r="L56" s="799" t="s">
        <v>1536</v>
      </c>
      <c r="M56" s="315">
        <f>50*64</f>
        <v>3200</v>
      </c>
      <c r="N56" s="101">
        <v>0</v>
      </c>
      <c r="O56" s="315">
        <v>3200</v>
      </c>
      <c r="P56" s="304">
        <v>850</v>
      </c>
    </row>
    <row r="57" spans="1:16" ht="28.5" customHeight="1">
      <c r="A57" s="210">
        <f t="shared" si="19"/>
        <v>15</v>
      </c>
      <c r="B57" s="307" t="s">
        <v>1136</v>
      </c>
      <c r="C57" s="308" t="s">
        <v>1137</v>
      </c>
      <c r="D57" s="303" t="s">
        <v>202</v>
      </c>
      <c r="E57" s="309">
        <v>5</v>
      </c>
      <c r="F57" s="309">
        <v>25</v>
      </c>
      <c r="G57" s="309">
        <v>2</v>
      </c>
      <c r="H57" s="309">
        <f t="shared" ref="H57" si="21">G57*F57</f>
        <v>50</v>
      </c>
      <c r="I57" s="309">
        <f t="shared" ref="I57" si="22">H57*E57</f>
        <v>250</v>
      </c>
      <c r="J57" s="310">
        <f t="shared" si="20"/>
        <v>5</v>
      </c>
      <c r="K57" s="311" t="s">
        <v>306</v>
      </c>
      <c r="L57" s="761" t="s">
        <v>1135</v>
      </c>
      <c r="M57" s="315">
        <v>1936</v>
      </c>
      <c r="N57" s="315">
        <v>0</v>
      </c>
      <c r="O57" s="315">
        <f t="shared" si="15"/>
        <v>1936</v>
      </c>
      <c r="P57" s="312">
        <v>2000</v>
      </c>
    </row>
    <row r="58" spans="1:16" ht="20.25">
      <c r="A58" s="279"/>
      <c r="B58" s="793"/>
      <c r="C58" s="786" t="s">
        <v>875</v>
      </c>
      <c r="D58" s="314"/>
      <c r="E58" s="314"/>
      <c r="F58" s="314"/>
      <c r="G58" s="314"/>
      <c r="H58" s="314"/>
      <c r="I58" s="314"/>
      <c r="J58" s="314"/>
      <c r="K58" s="314"/>
      <c r="L58" s="114"/>
      <c r="M58" s="98"/>
      <c r="N58" s="98"/>
      <c r="O58" s="315"/>
    </row>
    <row r="59" spans="1:16" ht="25.5">
      <c r="A59" s="210">
        <f>A57+1</f>
        <v>16</v>
      </c>
      <c r="B59" s="272" t="s">
        <v>937</v>
      </c>
      <c r="C59" s="752" t="s">
        <v>1565</v>
      </c>
      <c r="D59" s="303" t="s">
        <v>210</v>
      </c>
      <c r="E59" s="766">
        <v>5</v>
      </c>
      <c r="F59" s="766">
        <v>16</v>
      </c>
      <c r="G59" s="766">
        <v>10</v>
      </c>
      <c r="H59" s="766">
        <v>250</v>
      </c>
      <c r="I59" s="766">
        <f t="shared" ref="I59:I67" si="23">H59*E59</f>
        <v>1250</v>
      </c>
      <c r="J59" s="767">
        <f>(I59*P59)/100000</f>
        <v>37.5</v>
      </c>
      <c r="K59" s="752" t="s">
        <v>212</v>
      </c>
      <c r="L59" s="761" t="s">
        <v>574</v>
      </c>
      <c r="M59" s="210">
        <v>100</v>
      </c>
      <c r="N59" s="210">
        <v>0</v>
      </c>
      <c r="O59" s="315">
        <f t="shared" si="15"/>
        <v>100</v>
      </c>
      <c r="P59" s="776">
        <v>3000</v>
      </c>
    </row>
    <row r="60" spans="1:16">
      <c r="A60" s="210">
        <f>A59+1</f>
        <v>17</v>
      </c>
      <c r="B60" s="365" t="s">
        <v>937</v>
      </c>
      <c r="C60" s="366" t="s">
        <v>1525</v>
      </c>
      <c r="D60" s="344" t="s">
        <v>1294</v>
      </c>
      <c r="E60" s="328">
        <v>5</v>
      </c>
      <c r="F60" s="328">
        <v>16</v>
      </c>
      <c r="G60" s="328">
        <v>4</v>
      </c>
      <c r="H60" s="328">
        <f t="shared" ref="H60:H67" si="24">G60*F60</f>
        <v>64</v>
      </c>
      <c r="I60" s="328">
        <f t="shared" si="23"/>
        <v>320</v>
      </c>
      <c r="J60" s="367">
        <f>P60*I60/100000</f>
        <v>9.6</v>
      </c>
      <c r="K60" s="328" t="s">
        <v>296</v>
      </c>
      <c r="L60" s="369">
        <v>41518</v>
      </c>
      <c r="M60" s="210"/>
      <c r="N60" s="210"/>
      <c r="O60" s="315"/>
      <c r="P60" s="776">
        <v>3000</v>
      </c>
    </row>
    <row r="61" spans="1:16">
      <c r="A61" s="210">
        <f t="shared" ref="A61:A67" si="25">A60+1</f>
        <v>18</v>
      </c>
      <c r="B61" s="365" t="s">
        <v>937</v>
      </c>
      <c r="C61" s="366" t="s">
        <v>1526</v>
      </c>
      <c r="D61" s="344" t="s">
        <v>1294</v>
      </c>
      <c r="E61" s="328">
        <v>5</v>
      </c>
      <c r="F61" s="328">
        <v>16</v>
      </c>
      <c r="G61" s="328">
        <v>1</v>
      </c>
      <c r="H61" s="328">
        <f t="shared" si="24"/>
        <v>16</v>
      </c>
      <c r="I61" s="328">
        <f t="shared" si="23"/>
        <v>80</v>
      </c>
      <c r="J61" s="367">
        <f>P61*I61/100000</f>
        <v>2.4</v>
      </c>
      <c r="K61" s="328" t="s">
        <v>296</v>
      </c>
      <c r="L61" s="369">
        <v>41518</v>
      </c>
      <c r="M61" s="210"/>
      <c r="N61" s="210"/>
      <c r="O61" s="315"/>
      <c r="P61" s="776">
        <v>3000</v>
      </c>
    </row>
    <row r="62" spans="1:16" ht="25.5">
      <c r="A62" s="210">
        <f t="shared" si="25"/>
        <v>19</v>
      </c>
      <c r="B62" s="272" t="s">
        <v>937</v>
      </c>
      <c r="C62" s="752" t="s">
        <v>1566</v>
      </c>
      <c r="D62" s="303" t="s">
        <v>1278</v>
      </c>
      <c r="E62" s="766">
        <v>4</v>
      </c>
      <c r="F62" s="766">
        <v>16</v>
      </c>
      <c r="G62" s="766">
        <v>10</v>
      </c>
      <c r="H62" s="766">
        <f t="shared" si="24"/>
        <v>160</v>
      </c>
      <c r="I62" s="766">
        <f t="shared" si="23"/>
        <v>640</v>
      </c>
      <c r="J62" s="767">
        <f>(I62*P62)/100000</f>
        <v>19.84</v>
      </c>
      <c r="K62" s="752" t="s">
        <v>212</v>
      </c>
      <c r="L62" s="761" t="s">
        <v>574</v>
      </c>
      <c r="M62" s="210">
        <v>1358</v>
      </c>
      <c r="N62" s="210">
        <v>275</v>
      </c>
      <c r="O62" s="315">
        <f t="shared" ref="O62" si="26">M62-N62</f>
        <v>1083</v>
      </c>
      <c r="P62" s="776">
        <v>3100</v>
      </c>
    </row>
    <row r="63" spans="1:16" ht="25.5">
      <c r="A63" s="210">
        <f t="shared" si="25"/>
        <v>20</v>
      </c>
      <c r="B63" s="269" t="s">
        <v>1271</v>
      </c>
      <c r="C63" s="143" t="s">
        <v>1580</v>
      </c>
      <c r="D63" s="303" t="s">
        <v>1567</v>
      </c>
      <c r="E63" s="210">
        <v>3</v>
      </c>
      <c r="F63" s="210">
        <v>16</v>
      </c>
      <c r="G63" s="210">
        <v>16</v>
      </c>
      <c r="H63" s="210">
        <f t="shared" si="24"/>
        <v>256</v>
      </c>
      <c r="I63" s="210">
        <f t="shared" si="23"/>
        <v>768</v>
      </c>
      <c r="J63" s="271">
        <f>(P63*I63)/100000</f>
        <v>23.04</v>
      </c>
      <c r="K63" s="272" t="s">
        <v>296</v>
      </c>
      <c r="L63" s="761" t="s">
        <v>1138</v>
      </c>
      <c r="M63" s="315">
        <v>2128</v>
      </c>
      <c r="N63" s="101">
        <v>500</v>
      </c>
      <c r="O63" s="315">
        <f t="shared" ref="O63:O67" si="27">M63-N63</f>
        <v>1628</v>
      </c>
      <c r="P63" s="304">
        <v>3000</v>
      </c>
    </row>
    <row r="64" spans="1:16" ht="25.5">
      <c r="A64" s="210">
        <f t="shared" si="25"/>
        <v>21</v>
      </c>
      <c r="B64" s="210" t="s">
        <v>1572</v>
      </c>
      <c r="C64" s="143" t="s">
        <v>1568</v>
      </c>
      <c r="D64" s="303" t="s">
        <v>1547</v>
      </c>
      <c r="E64" s="210">
        <v>3</v>
      </c>
      <c r="F64" s="210">
        <v>30</v>
      </c>
      <c r="G64" s="210">
        <v>10</v>
      </c>
      <c r="H64" s="210">
        <f t="shared" si="24"/>
        <v>300</v>
      </c>
      <c r="I64" s="210">
        <f t="shared" si="23"/>
        <v>900</v>
      </c>
      <c r="J64" s="271">
        <f>I64*P64/100000</f>
        <v>36</v>
      </c>
      <c r="K64" s="272" t="s">
        <v>296</v>
      </c>
      <c r="L64" s="761" t="s">
        <v>1554</v>
      </c>
      <c r="M64" s="315">
        <v>1872</v>
      </c>
      <c r="N64" s="101">
        <v>0</v>
      </c>
      <c r="O64" s="315">
        <f t="shared" si="27"/>
        <v>1872</v>
      </c>
      <c r="P64" s="304">
        <v>4000</v>
      </c>
    </row>
    <row r="65" spans="1:16" ht="25.5">
      <c r="A65" s="210">
        <f t="shared" si="25"/>
        <v>22</v>
      </c>
      <c r="B65" s="305" t="s">
        <v>1550</v>
      </c>
      <c r="C65" s="143" t="s">
        <v>1569</v>
      </c>
      <c r="D65" s="303" t="s">
        <v>1277</v>
      </c>
      <c r="E65" s="210">
        <v>3</v>
      </c>
      <c r="F65" s="210">
        <v>30</v>
      </c>
      <c r="G65" s="210">
        <v>30</v>
      </c>
      <c r="H65" s="210">
        <f t="shared" si="24"/>
        <v>900</v>
      </c>
      <c r="I65" s="210">
        <f t="shared" si="23"/>
        <v>2700</v>
      </c>
      <c r="J65" s="271">
        <f t="shared" ref="J65:J67" si="28">I65*P65/100000</f>
        <v>108</v>
      </c>
      <c r="K65" s="272" t="s">
        <v>296</v>
      </c>
      <c r="L65" s="761" t="s">
        <v>1555</v>
      </c>
      <c r="M65" s="315">
        <v>1800</v>
      </c>
      <c r="N65" s="101">
        <v>0</v>
      </c>
      <c r="O65" s="315">
        <f t="shared" si="27"/>
        <v>1800</v>
      </c>
      <c r="P65" s="304">
        <v>4000</v>
      </c>
    </row>
    <row r="66" spans="1:16" ht="25.5">
      <c r="A66" s="210">
        <f t="shared" si="25"/>
        <v>23</v>
      </c>
      <c r="B66" s="210" t="s">
        <v>1552</v>
      </c>
      <c r="C66" s="143" t="s">
        <v>1570</v>
      </c>
      <c r="D66" s="303" t="s">
        <v>1548</v>
      </c>
      <c r="E66" s="210">
        <v>1</v>
      </c>
      <c r="F66" s="210">
        <v>30</v>
      </c>
      <c r="G66" s="210">
        <v>20</v>
      </c>
      <c r="H66" s="210">
        <f t="shared" si="24"/>
        <v>600</v>
      </c>
      <c r="I66" s="210">
        <f t="shared" si="23"/>
        <v>600</v>
      </c>
      <c r="J66" s="271">
        <f t="shared" si="28"/>
        <v>18</v>
      </c>
      <c r="K66" s="272" t="s">
        <v>1553</v>
      </c>
      <c r="L66" s="761" t="s">
        <v>1556</v>
      </c>
      <c r="M66" s="315">
        <v>640</v>
      </c>
      <c r="N66" s="101">
        <v>0</v>
      </c>
      <c r="O66" s="315">
        <f t="shared" si="27"/>
        <v>640</v>
      </c>
      <c r="P66" s="304">
        <v>3000</v>
      </c>
    </row>
    <row r="67" spans="1:16" ht="25.5">
      <c r="A67" s="210">
        <f t="shared" si="25"/>
        <v>24</v>
      </c>
      <c r="B67" s="210" t="s">
        <v>1551</v>
      </c>
      <c r="C67" s="143" t="s">
        <v>1571</v>
      </c>
      <c r="D67" s="303" t="s">
        <v>1549</v>
      </c>
      <c r="E67" s="210">
        <v>1</v>
      </c>
      <c r="F67" s="210">
        <v>10</v>
      </c>
      <c r="G67" s="210">
        <v>64</v>
      </c>
      <c r="H67" s="210">
        <f t="shared" si="24"/>
        <v>640</v>
      </c>
      <c r="I67" s="210">
        <f t="shared" si="23"/>
        <v>640</v>
      </c>
      <c r="J67" s="271">
        <f t="shared" si="28"/>
        <v>19.2</v>
      </c>
      <c r="K67" s="272" t="s">
        <v>1553</v>
      </c>
      <c r="L67" s="761" t="s">
        <v>1557</v>
      </c>
      <c r="M67" s="315">
        <v>640</v>
      </c>
      <c r="N67" s="101">
        <v>0</v>
      </c>
      <c r="O67" s="315">
        <f t="shared" si="27"/>
        <v>640</v>
      </c>
      <c r="P67" s="304">
        <v>3000</v>
      </c>
    </row>
    <row r="69" spans="1:16" ht="24">
      <c r="A69" s="279"/>
      <c r="B69" s="793"/>
      <c r="C69" s="788" t="s">
        <v>1115</v>
      </c>
      <c r="D69" s="314"/>
      <c r="E69" s="314"/>
      <c r="F69" s="314"/>
      <c r="G69" s="314" t="s">
        <v>217</v>
      </c>
      <c r="H69" s="314"/>
      <c r="I69" s="314"/>
      <c r="J69" s="314"/>
      <c r="K69" s="314"/>
      <c r="L69" s="114"/>
      <c r="M69" s="98"/>
      <c r="N69" s="98"/>
      <c r="O69" s="315"/>
    </row>
    <row r="70" spans="1:16" ht="24">
      <c r="A70" s="101">
        <f>A67+1</f>
        <v>25</v>
      </c>
      <c r="B70" s="272" t="s">
        <v>1221</v>
      </c>
      <c r="C70" s="143" t="s">
        <v>1581</v>
      </c>
      <c r="D70" s="303" t="s">
        <v>211</v>
      </c>
      <c r="E70" s="210">
        <v>2</v>
      </c>
      <c r="F70" s="210">
        <v>30</v>
      </c>
      <c r="G70" s="210">
        <v>5</v>
      </c>
      <c r="H70" s="210">
        <f>G70*F70</f>
        <v>150</v>
      </c>
      <c r="I70" s="210">
        <f>H70*E70</f>
        <v>300</v>
      </c>
      <c r="J70" s="271">
        <f>(P70*I70)/100000</f>
        <v>6</v>
      </c>
      <c r="K70" s="272" t="s">
        <v>296</v>
      </c>
      <c r="L70" s="763">
        <v>41730</v>
      </c>
      <c r="M70" s="210">
        <v>1198</v>
      </c>
      <c r="N70" s="210">
        <v>0</v>
      </c>
      <c r="O70" s="315">
        <f t="shared" si="15"/>
        <v>1198</v>
      </c>
      <c r="P70" s="769">
        <v>2000</v>
      </c>
    </row>
    <row r="71" spans="1:16">
      <c r="A71" s="101">
        <f>A70+1</f>
        <v>26</v>
      </c>
      <c r="B71" s="272" t="s">
        <v>1222</v>
      </c>
      <c r="C71" s="143" t="s">
        <v>1219</v>
      </c>
      <c r="D71" s="303" t="s">
        <v>211</v>
      </c>
      <c r="E71" s="210">
        <v>2</v>
      </c>
      <c r="F71" s="210">
        <v>30</v>
      </c>
      <c r="G71" s="210">
        <v>5</v>
      </c>
      <c r="H71" s="210">
        <f>G71*F71</f>
        <v>150</v>
      </c>
      <c r="I71" s="210">
        <f>H71*E71</f>
        <v>300</v>
      </c>
      <c r="J71" s="271">
        <f>(P71*I71)/100000</f>
        <v>6</v>
      </c>
      <c r="K71" s="272" t="s">
        <v>296</v>
      </c>
      <c r="L71" s="763">
        <v>41730</v>
      </c>
      <c r="M71" s="768">
        <v>1198</v>
      </c>
      <c r="N71" s="210">
        <v>0</v>
      </c>
      <c r="O71" s="315">
        <f t="shared" si="15"/>
        <v>1198</v>
      </c>
      <c r="P71" s="769">
        <v>2000</v>
      </c>
    </row>
    <row r="72" spans="1:16" ht="36">
      <c r="A72" s="101">
        <f t="shared" ref="A72:A73" si="29">A71+1</f>
        <v>27</v>
      </c>
      <c r="B72" s="210" t="s">
        <v>104</v>
      </c>
      <c r="C72" s="143" t="s">
        <v>1545</v>
      </c>
      <c r="D72" s="141" t="s">
        <v>297</v>
      </c>
      <c r="E72" s="141">
        <v>3</v>
      </c>
      <c r="F72" s="141">
        <v>30</v>
      </c>
      <c r="G72" s="141">
        <v>7</v>
      </c>
      <c r="H72" s="141">
        <f>F72*G72</f>
        <v>210</v>
      </c>
      <c r="I72" s="141">
        <f>H72*E72</f>
        <v>630</v>
      </c>
      <c r="J72" s="292">
        <f>(I72*P72)/100000</f>
        <v>11.34</v>
      </c>
      <c r="K72" s="269" t="s">
        <v>296</v>
      </c>
      <c r="L72" s="141" t="s">
        <v>574</v>
      </c>
      <c r="M72" s="315">
        <f>(14*280)*0.5</f>
        <v>1960</v>
      </c>
      <c r="N72" s="101">
        <v>460</v>
      </c>
      <c r="O72" s="270">
        <f t="shared" si="15"/>
        <v>1500</v>
      </c>
      <c r="P72" s="755">
        <v>1800</v>
      </c>
    </row>
    <row r="73" spans="1:16" ht="24">
      <c r="A73" s="101">
        <f t="shared" si="29"/>
        <v>28</v>
      </c>
      <c r="B73" s="269" t="s">
        <v>1223</v>
      </c>
      <c r="C73" s="143" t="s">
        <v>1130</v>
      </c>
      <c r="D73" s="313" t="s">
        <v>1279</v>
      </c>
      <c r="E73" s="210">
        <v>2</v>
      </c>
      <c r="F73" s="210">
        <v>30</v>
      </c>
      <c r="G73" s="210">
        <v>5</v>
      </c>
      <c r="H73" s="210">
        <f>G73*F73</f>
        <v>150</v>
      </c>
      <c r="I73" s="210">
        <f>H73*E73</f>
        <v>300</v>
      </c>
      <c r="J73" s="271">
        <f>(P73*I73)/100000</f>
        <v>6</v>
      </c>
      <c r="K73" s="272" t="s">
        <v>296</v>
      </c>
      <c r="L73" s="763">
        <v>41730</v>
      </c>
      <c r="M73" s="777">
        <v>1198</v>
      </c>
      <c r="N73" s="101">
        <v>0</v>
      </c>
      <c r="O73" s="315">
        <f t="shared" si="15"/>
        <v>1198</v>
      </c>
      <c r="P73" s="304">
        <v>2000</v>
      </c>
    </row>
    <row r="74" spans="1:16" ht="17.25" customHeight="1">
      <c r="A74" s="792" t="s">
        <v>423</v>
      </c>
      <c r="B74" s="794"/>
      <c r="C74" s="794"/>
      <c r="D74" s="794"/>
      <c r="E74" s="794"/>
      <c r="F74" s="794"/>
      <c r="G74" s="795">
        <f>SUM(G42:G73)</f>
        <v>365</v>
      </c>
      <c r="H74" s="795">
        <f>SUM(H42:H73)</f>
        <v>9127</v>
      </c>
      <c r="I74" s="795">
        <f>SUM(I42:I73)</f>
        <v>42374</v>
      </c>
      <c r="J74" s="796">
        <f>SUM(J42:J73)</f>
        <v>902.29000000000008</v>
      </c>
      <c r="K74" s="792"/>
      <c r="L74" s="794"/>
      <c r="M74" s="794"/>
      <c r="N74" s="794"/>
      <c r="O74" s="797"/>
      <c r="P74" s="798"/>
    </row>
  </sheetData>
  <mergeCells count="16">
    <mergeCell ref="A1:O1"/>
    <mergeCell ref="A2:O2"/>
    <mergeCell ref="A3:O3"/>
    <mergeCell ref="M4:O4"/>
    <mergeCell ref="L4:L5"/>
    <mergeCell ref="K4:K5"/>
    <mergeCell ref="J4:J5"/>
    <mergeCell ref="I4:I5"/>
    <mergeCell ref="H4:H5"/>
    <mergeCell ref="G4:G5"/>
    <mergeCell ref="F4:F5"/>
    <mergeCell ref="E4:E5"/>
    <mergeCell ref="D4:D5"/>
    <mergeCell ref="C4:C5"/>
    <mergeCell ref="B4:B5"/>
    <mergeCell ref="A4:A5"/>
  </mergeCells>
  <printOptions horizontalCentered="1"/>
  <pageMargins left="0.75" right="0.75" top="0.85" bottom="0.85" header="0.3" footer="0.3"/>
  <pageSetup paperSize="9" scale="85" orientation="landscape" r:id="rId1"/>
  <headerFooter>
    <oddHeader xml:space="preserve">&amp;R&amp;14PLAN REVENUE BUDGET FY 2013-14&amp;10 </oddHeader>
    <oddFooter xml:space="preserve">&amp;RPage &amp;P+24&amp; 
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35"/>
  <sheetViews>
    <sheetView topLeftCell="A4" workbookViewId="0">
      <selection activeCell="G8" sqref="G8"/>
    </sheetView>
  </sheetViews>
  <sheetFormatPr defaultRowHeight="12.75"/>
  <cols>
    <col min="1" max="1" width="5.140625" style="4" customWidth="1"/>
    <col min="2" max="2" width="67.5703125" style="4" customWidth="1"/>
    <col min="3" max="3" width="9.5703125" style="4" customWidth="1"/>
    <col min="4" max="4" width="10.7109375" style="4" customWidth="1"/>
    <col min="5" max="5" width="11.5703125" style="4" customWidth="1"/>
    <col min="6" max="6" width="10.85546875" style="4" customWidth="1"/>
    <col min="7" max="7" width="11.42578125" style="4" customWidth="1"/>
    <col min="8" max="8" width="21.5703125" style="4" customWidth="1"/>
    <col min="9" max="9" width="9.140625" style="4"/>
    <col min="10" max="10" width="24" style="4" customWidth="1"/>
    <col min="11" max="16384" width="9.140625" style="4"/>
  </cols>
  <sheetData>
    <row r="1" spans="1:12" ht="19.5" customHeight="1">
      <c r="A1" s="894" t="s">
        <v>23</v>
      </c>
      <c r="B1" s="895"/>
      <c r="C1" s="895"/>
      <c r="D1" s="895"/>
      <c r="E1" s="895"/>
      <c r="F1" s="895"/>
      <c r="G1" s="895"/>
      <c r="H1" s="896"/>
      <c r="I1" s="28"/>
      <c r="J1" s="28"/>
      <c r="K1" s="28"/>
      <c r="L1" s="28"/>
    </row>
    <row r="2" spans="1:12" ht="19.5" customHeight="1">
      <c r="A2" s="897" t="s">
        <v>4</v>
      </c>
      <c r="B2" s="898"/>
      <c r="C2" s="898"/>
      <c r="D2" s="898"/>
      <c r="E2" s="898"/>
      <c r="F2" s="898"/>
      <c r="G2" s="898"/>
      <c r="H2" s="899"/>
      <c r="I2" s="31"/>
      <c r="J2" s="31"/>
      <c r="K2" s="32"/>
      <c r="L2" s="28"/>
    </row>
    <row r="3" spans="1:12" ht="19.5" customHeight="1">
      <c r="A3" s="900" t="s">
        <v>448</v>
      </c>
      <c r="B3" s="901"/>
      <c r="C3" s="901"/>
      <c r="D3" s="901"/>
      <c r="E3" s="901"/>
      <c r="F3" s="901"/>
      <c r="G3" s="901"/>
      <c r="H3" s="902"/>
      <c r="I3" s="28"/>
      <c r="J3" s="28"/>
      <c r="K3" s="28"/>
      <c r="L3" s="28"/>
    </row>
    <row r="4" spans="1:12" ht="15" customHeight="1">
      <c r="A4" s="906" t="s">
        <v>2</v>
      </c>
      <c r="B4" s="911" t="s">
        <v>5</v>
      </c>
      <c r="C4" s="908" t="s">
        <v>449</v>
      </c>
      <c r="D4" s="909"/>
      <c r="E4" s="909"/>
      <c r="F4" s="910"/>
      <c r="G4" s="906" t="s">
        <v>373</v>
      </c>
      <c r="H4" s="911" t="s">
        <v>302</v>
      </c>
      <c r="I4" s="33"/>
      <c r="J4" s="28"/>
      <c r="K4" s="28"/>
      <c r="L4" s="34"/>
    </row>
    <row r="5" spans="1:12" ht="24">
      <c r="A5" s="907"/>
      <c r="B5" s="912"/>
      <c r="C5" s="67" t="s">
        <v>1114</v>
      </c>
      <c r="D5" s="67" t="s">
        <v>1210</v>
      </c>
      <c r="E5" s="67" t="s">
        <v>107</v>
      </c>
      <c r="F5" s="67" t="s">
        <v>301</v>
      </c>
      <c r="G5" s="907"/>
      <c r="H5" s="912"/>
    </row>
    <row r="6" spans="1:12" s="6" customFormat="1" ht="11.25" customHeight="1">
      <c r="A6" s="29">
        <v>1</v>
      </c>
      <c r="B6" s="29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29">
        <v>8</v>
      </c>
    </row>
    <row r="7" spans="1:12" ht="19.5" customHeight="1">
      <c r="A7" s="41" t="s">
        <v>29</v>
      </c>
      <c r="B7" s="42"/>
      <c r="C7" s="42"/>
      <c r="D7" s="42"/>
      <c r="E7" s="42"/>
      <c r="F7" s="42"/>
      <c r="G7" s="42"/>
      <c r="H7" s="43"/>
    </row>
    <row r="8" spans="1:12" ht="15" customHeight="1">
      <c r="A8" s="47">
        <v>1</v>
      </c>
      <c r="B8" s="48" t="s">
        <v>4</v>
      </c>
      <c r="C8" s="49">
        <f>'Plan Revenue 13-14'!A26</f>
        <v>14</v>
      </c>
      <c r="D8" s="49">
        <f>'Plan Revenue 13-14'!G28</f>
        <v>26</v>
      </c>
      <c r="E8" s="49">
        <f>'Plan Revenue 13-14'!H28</f>
        <v>630</v>
      </c>
      <c r="F8" s="49">
        <f>'Plan Revenue 13-14'!I28</f>
        <v>1750</v>
      </c>
      <c r="G8" s="50">
        <v>90</v>
      </c>
      <c r="H8" s="50"/>
    </row>
    <row r="9" spans="1:12" ht="15" customHeight="1">
      <c r="A9" s="47">
        <v>2</v>
      </c>
      <c r="B9" s="48" t="s">
        <v>31</v>
      </c>
      <c r="C9" s="49">
        <f>'Plan Revenue 13-14'!A36</f>
        <v>6</v>
      </c>
      <c r="D9" s="49">
        <f>'Plan Revenue 13-14'!G38</f>
        <v>34</v>
      </c>
      <c r="E9" s="49">
        <f>'Plan Revenue 13-14'!H38</f>
        <v>1860</v>
      </c>
      <c r="F9" s="49">
        <f>'Plan Revenue 13-14'!I38</f>
        <v>5220</v>
      </c>
      <c r="G9" s="50">
        <v>85</v>
      </c>
      <c r="H9" s="47"/>
    </row>
    <row r="10" spans="1:12" s="13" customFormat="1" ht="15" customHeight="1">
      <c r="A10" s="816"/>
      <c r="B10" s="817" t="s">
        <v>1126</v>
      </c>
      <c r="C10" s="818">
        <f>SUM(C8:C9)</f>
        <v>20</v>
      </c>
      <c r="D10" s="818">
        <f>SUM(D8:D9)</f>
        <v>60</v>
      </c>
      <c r="E10" s="818">
        <f t="shared" ref="E10:F10" si="0">SUM(E8:E9)</f>
        <v>2490</v>
      </c>
      <c r="F10" s="818">
        <f t="shared" si="0"/>
        <v>6970</v>
      </c>
      <c r="G10" s="819">
        <f>SUM(G8:G9)</f>
        <v>175</v>
      </c>
      <c r="H10" s="820"/>
    </row>
    <row r="11" spans="1:12" s="7" customFormat="1" ht="24">
      <c r="A11" s="47">
        <v>3</v>
      </c>
      <c r="B11" s="48" t="s">
        <v>424</v>
      </c>
      <c r="C11" s="47">
        <f>'Plan Revenue 13-14'!A73</f>
        <v>28</v>
      </c>
      <c r="D11" s="205">
        <f>'Plan Revenue 13-14'!G74</f>
        <v>365</v>
      </c>
      <c r="E11" s="205">
        <f>'Plan Revenue 13-14'!H74</f>
        <v>9127</v>
      </c>
      <c r="F11" s="205">
        <f>'Plan Revenue 13-14'!I74</f>
        <v>42374</v>
      </c>
      <c r="G11" s="50">
        <f>'Plan Revenue 13-14'!J74</f>
        <v>902.29000000000008</v>
      </c>
      <c r="H11" s="51" t="s">
        <v>425</v>
      </c>
    </row>
    <row r="12" spans="1:12" s="7" customFormat="1" ht="14.25" customHeight="1">
      <c r="A12" s="903" t="s">
        <v>11</v>
      </c>
      <c r="B12" s="904"/>
      <c r="C12" s="44">
        <f>SUM(C10:C11)</f>
        <v>48</v>
      </c>
      <c r="D12" s="44">
        <f>SUM(D10:D11)</f>
        <v>425</v>
      </c>
      <c r="E12" s="44">
        <f>SUM(E10:E11)</f>
        <v>11617</v>
      </c>
      <c r="F12" s="44">
        <f>SUM(F10:F11)</f>
        <v>49344</v>
      </c>
      <c r="G12" s="45">
        <f>SUM(G10:G11)</f>
        <v>1077.29</v>
      </c>
      <c r="H12" s="46"/>
      <c r="I12" s="8"/>
    </row>
    <row r="13" spans="1:12" ht="18" customHeight="1">
      <c r="A13" s="226" t="s">
        <v>310</v>
      </c>
      <c r="B13" s="36"/>
      <c r="C13" s="36"/>
      <c r="D13" s="36"/>
      <c r="E13" s="36"/>
      <c r="F13" s="36"/>
      <c r="G13" s="36"/>
      <c r="H13" s="37"/>
      <c r="I13" s="9"/>
      <c r="K13" s="5"/>
    </row>
    <row r="14" spans="1:12">
      <c r="A14" s="54">
        <v>1</v>
      </c>
      <c r="B14" s="55" t="s">
        <v>1268</v>
      </c>
      <c r="C14" s="54">
        <f>'Plan Project 13-14'!A34</f>
        <v>4</v>
      </c>
      <c r="D14" s="54">
        <f>'Plan Project 13-14'!G35</f>
        <v>7</v>
      </c>
      <c r="E14" s="54">
        <f>'Plan Project 13-14'!H35</f>
        <v>206</v>
      </c>
      <c r="F14" s="209">
        <f>'Plan Project 13-14'!I35</f>
        <v>410</v>
      </c>
      <c r="G14" s="56">
        <f>'Plan Project 13-14'!J35</f>
        <v>8</v>
      </c>
      <c r="H14" s="54"/>
      <c r="I14" s="9"/>
      <c r="K14" s="5"/>
    </row>
    <row r="15" spans="1:12">
      <c r="A15" s="54">
        <f>A14+1</f>
        <v>2</v>
      </c>
      <c r="B15" s="55" t="s">
        <v>1266</v>
      </c>
      <c r="C15" s="54">
        <f>'Plan Project 13-14'!A39</f>
        <v>3</v>
      </c>
      <c r="D15" s="54">
        <f>'Plan Project 13-14'!G40</f>
        <v>3</v>
      </c>
      <c r="E15" s="54">
        <f>'Plan Project 13-14'!H40</f>
        <v>75</v>
      </c>
      <c r="F15" s="209">
        <f>'Plan Project 13-14'!I40</f>
        <v>225</v>
      </c>
      <c r="G15" s="56">
        <f>'Plan Project 13-14'!J40</f>
        <v>9</v>
      </c>
      <c r="H15" s="54"/>
      <c r="I15" s="9"/>
      <c r="K15" s="5"/>
    </row>
    <row r="16" spans="1:12">
      <c r="A16" s="54">
        <f t="shared" ref="A16:A32" si="1">A15+1</f>
        <v>3</v>
      </c>
      <c r="B16" s="55" t="s">
        <v>1543</v>
      </c>
      <c r="C16" s="802" t="str">
        <f>'Plan Project 13-14'!A85</f>
        <v>29</v>
      </c>
      <c r="D16" s="54">
        <f>'Plan Project 13-14'!G87</f>
        <v>303</v>
      </c>
      <c r="E16" s="54">
        <f>'Plan Project 13-14'!H87</f>
        <v>0</v>
      </c>
      <c r="F16" s="209">
        <f>'Plan Project 13-14'!I87</f>
        <v>0</v>
      </c>
      <c r="G16" s="56">
        <f>'Plan Project 13-14'!J87</f>
        <v>108.0437</v>
      </c>
      <c r="I16" s="9"/>
      <c r="K16" s="5"/>
    </row>
    <row r="17" spans="1:11">
      <c r="A17" s="54">
        <f t="shared" si="1"/>
        <v>4</v>
      </c>
      <c r="B17" s="55" t="s">
        <v>412</v>
      </c>
      <c r="C17" s="54">
        <v>6</v>
      </c>
      <c r="D17" s="54">
        <f>'Plan Project 13-14'!G96</f>
        <v>18</v>
      </c>
      <c r="E17" s="54">
        <f>'Plan Project 13-14'!H96</f>
        <v>546</v>
      </c>
      <c r="F17" s="209">
        <f>'Plan Project 13-14'!I96</f>
        <v>1272</v>
      </c>
      <c r="G17" s="56">
        <f>'Plan Project 13-14'!J96</f>
        <v>37.910000000000004</v>
      </c>
      <c r="H17" s="54"/>
      <c r="I17" s="9"/>
      <c r="K17" s="5"/>
    </row>
    <row r="18" spans="1:11" ht="25.5">
      <c r="A18" s="54">
        <f t="shared" si="1"/>
        <v>5</v>
      </c>
      <c r="B18" s="55" t="s">
        <v>1267</v>
      </c>
      <c r="C18" s="54">
        <f>'Plan Project 13-14'!A101</f>
        <v>4</v>
      </c>
      <c r="D18" s="54">
        <f>'Plan Project 13-14'!G102</f>
        <v>3211</v>
      </c>
      <c r="E18" s="54">
        <f>'Plan Project 13-14'!H102</f>
        <v>80228</v>
      </c>
      <c r="F18" s="209">
        <f>'Plan Project 13-14'!I102</f>
        <v>520244</v>
      </c>
      <c r="G18" s="56">
        <f>'Plan Project 13-14'!J102</f>
        <v>6266</v>
      </c>
      <c r="H18" s="55" t="s">
        <v>374</v>
      </c>
      <c r="I18" s="9"/>
      <c r="K18" s="5"/>
    </row>
    <row r="19" spans="1:11">
      <c r="A19" s="54">
        <f t="shared" si="1"/>
        <v>6</v>
      </c>
      <c r="B19" s="55" t="s">
        <v>41</v>
      </c>
      <c r="C19" s="54">
        <f>'Plan Project 13-14'!A105</f>
        <v>2</v>
      </c>
      <c r="D19" s="54">
        <f>'Plan Project 13-14'!G106</f>
        <v>43</v>
      </c>
      <c r="E19" s="54">
        <f>'Plan Project 13-14'!H106</f>
        <v>1100</v>
      </c>
      <c r="F19" s="209">
        <f>'Plan Project 13-14'!I106</f>
        <v>27900</v>
      </c>
      <c r="G19" s="56">
        <f>'Plan Project 13-14'!J106</f>
        <v>213.16</v>
      </c>
      <c r="H19" s="55"/>
      <c r="I19" s="9"/>
      <c r="K19" s="5"/>
    </row>
    <row r="20" spans="1:11">
      <c r="A20" s="54">
        <f t="shared" si="1"/>
        <v>7</v>
      </c>
      <c r="B20" s="59" t="s">
        <v>874</v>
      </c>
      <c r="C20" s="208">
        <f>'Plan Project 13-14'!A141</f>
        <v>34</v>
      </c>
      <c r="D20" s="208">
        <f>'Plan Project 13-14'!G142</f>
        <v>596</v>
      </c>
      <c r="E20" s="208">
        <f>'Plan Project 13-14'!H142</f>
        <v>16395</v>
      </c>
      <c r="F20" s="209">
        <f>'Plan Project 13-14'!I142</f>
        <v>21515</v>
      </c>
      <c r="G20" s="56">
        <f>'Plan Project 13-14'!J142</f>
        <v>180.90909090909091</v>
      </c>
      <c r="H20" s="60"/>
      <c r="I20" s="9"/>
      <c r="K20" s="5"/>
    </row>
    <row r="21" spans="1:11">
      <c r="A21" s="54">
        <f t="shared" si="1"/>
        <v>8</v>
      </c>
      <c r="B21" s="57" t="s">
        <v>772</v>
      </c>
      <c r="C21" s="54">
        <f>'Plan Project 13-14'!A163</f>
        <v>20</v>
      </c>
      <c r="D21" s="54">
        <f>'Plan Project 13-14'!G164</f>
        <v>421</v>
      </c>
      <c r="E21" s="54">
        <f>'Plan Project 13-14'!H164</f>
        <v>7695</v>
      </c>
      <c r="F21" s="209">
        <f>'Plan Project 13-14'!I164</f>
        <v>75555</v>
      </c>
      <c r="G21" s="56">
        <f>'Plan Project 13-14'!J164</f>
        <v>381</v>
      </c>
      <c r="H21" s="60" t="s">
        <v>303</v>
      </c>
      <c r="I21" s="9"/>
      <c r="K21" s="5"/>
    </row>
    <row r="22" spans="1:11">
      <c r="A22" s="54">
        <f t="shared" si="1"/>
        <v>9</v>
      </c>
      <c r="B22" s="326" t="s">
        <v>1544</v>
      </c>
      <c r="C22" s="54">
        <f>'Plan Project 13-14'!A181</f>
        <v>16</v>
      </c>
      <c r="D22" s="54">
        <f>'Plan Project 13-14'!G182</f>
        <v>37</v>
      </c>
      <c r="E22" s="54">
        <f>'Plan Project 13-14'!H182</f>
        <v>1728</v>
      </c>
      <c r="F22" s="209">
        <f>'Plan Project 13-14'!I182</f>
        <v>2484</v>
      </c>
      <c r="G22" s="56">
        <f>'Plan Project 13-14'!J182</f>
        <v>72.77000000000001</v>
      </c>
      <c r="H22" s="60" t="s">
        <v>1140</v>
      </c>
      <c r="I22" s="9"/>
      <c r="K22" s="5"/>
    </row>
    <row r="23" spans="1:11">
      <c r="A23" s="54">
        <f t="shared" si="1"/>
        <v>10</v>
      </c>
      <c r="B23" s="63" t="s">
        <v>25</v>
      </c>
      <c r="C23" s="208">
        <f>'Plan Project 13-14'!A258</f>
        <v>60</v>
      </c>
      <c r="D23" s="54">
        <f>'Plan Project 13-14'!G260</f>
        <v>943</v>
      </c>
      <c r="E23" s="54">
        <f>'Plan Project 13-14'!H260</f>
        <v>37643</v>
      </c>
      <c r="F23" s="209">
        <f>'Plan Project 13-14'!I260</f>
        <v>57037</v>
      </c>
      <c r="G23" s="56">
        <f>'Plan Project 13-14'!J260</f>
        <v>810.67000000000007</v>
      </c>
      <c r="H23" s="60"/>
      <c r="I23" s="9"/>
      <c r="K23" s="5"/>
    </row>
    <row r="24" spans="1:11">
      <c r="A24" s="54">
        <f t="shared" si="1"/>
        <v>11</v>
      </c>
      <c r="B24" s="61" t="s">
        <v>704</v>
      </c>
      <c r="C24" s="208">
        <f>'Plan Project 13-14'!A275</f>
        <v>14</v>
      </c>
      <c r="D24" s="208">
        <f>'Plan Project 13-14'!G276</f>
        <v>142</v>
      </c>
      <c r="E24" s="208">
        <f>'Plan Project 13-14'!H276</f>
        <v>6404</v>
      </c>
      <c r="F24" s="209">
        <f>'Plan Project 13-14'!I276</f>
        <v>10792</v>
      </c>
      <c r="G24" s="56">
        <f>'Plan Project 13-14'!J276</f>
        <v>279.52</v>
      </c>
      <c r="H24" s="60"/>
      <c r="I24" s="9"/>
      <c r="K24" s="5"/>
    </row>
    <row r="25" spans="1:11">
      <c r="A25" s="54">
        <f t="shared" si="1"/>
        <v>12</v>
      </c>
      <c r="B25" s="62" t="s">
        <v>333</v>
      </c>
      <c r="C25" s="208">
        <f>'Plan Project 13-14'!A285</f>
        <v>8</v>
      </c>
      <c r="D25" s="208">
        <f>'Plan Project 13-14'!G286</f>
        <v>8</v>
      </c>
      <c r="E25" s="208">
        <f>'Plan Project 13-14'!H286</f>
        <v>136</v>
      </c>
      <c r="F25" s="209">
        <f>'Plan Project 13-14'!I286</f>
        <v>408</v>
      </c>
      <c r="G25" s="56">
        <f>'Plan Project 13-14'!J286</f>
        <v>8</v>
      </c>
      <c r="H25" s="60"/>
      <c r="I25" s="9"/>
      <c r="K25" s="5"/>
    </row>
    <row r="26" spans="1:11">
      <c r="A26" s="54">
        <f t="shared" si="1"/>
        <v>13</v>
      </c>
      <c r="B26" s="322" t="s">
        <v>84</v>
      </c>
      <c r="C26" s="54">
        <f>'Plan Project 13-14'!A296</f>
        <v>9</v>
      </c>
      <c r="D26" s="54">
        <f>'Plan Project 13-14'!G297</f>
        <v>116</v>
      </c>
      <c r="E26" s="54">
        <f>'Plan Project 13-14'!H297</f>
        <v>4645</v>
      </c>
      <c r="F26" s="209">
        <f>'Plan Project 13-14'!I297</f>
        <v>9206</v>
      </c>
      <c r="G26" s="56">
        <f>'Plan Project 13-14'!J297</f>
        <v>160.26000000000002</v>
      </c>
      <c r="H26" s="60"/>
      <c r="I26" s="9"/>
      <c r="K26" s="5"/>
    </row>
    <row r="27" spans="1:11">
      <c r="A27" s="54">
        <f t="shared" si="1"/>
        <v>14</v>
      </c>
      <c r="B27" s="323" t="s">
        <v>484</v>
      </c>
      <c r="C27" s="54">
        <f>'Plan Project 13-14'!A307</f>
        <v>9</v>
      </c>
      <c r="D27" s="54">
        <f>'Plan Project 13-14'!G308</f>
        <v>147</v>
      </c>
      <c r="E27" s="54">
        <f>'Plan Project 13-14'!H308</f>
        <v>1890</v>
      </c>
      <c r="F27" s="209">
        <f>'Plan Project 13-14'!I308</f>
        <v>5375</v>
      </c>
      <c r="G27" s="56">
        <f>'Plan Project 13-14'!J308</f>
        <v>46.42</v>
      </c>
      <c r="H27" s="60"/>
      <c r="I27" s="9"/>
      <c r="K27" s="5"/>
    </row>
    <row r="28" spans="1:11">
      <c r="A28" s="54">
        <f t="shared" si="1"/>
        <v>15</v>
      </c>
      <c r="B28" s="324" t="s">
        <v>486</v>
      </c>
      <c r="C28" s="209">
        <f>'Plan Project 13-14'!A362</f>
        <v>38</v>
      </c>
      <c r="D28" s="209">
        <f>'Plan Project 13-14'!G364</f>
        <v>922</v>
      </c>
      <c r="E28" s="209">
        <f>'Plan Project 13-14'!H364</f>
        <v>56069</v>
      </c>
      <c r="F28" s="209">
        <f>'Plan Project 13-14'!I364</f>
        <v>69442</v>
      </c>
      <c r="G28" s="56">
        <f>'Plan Project 13-14'!J364</f>
        <v>234.04999999999998</v>
      </c>
      <c r="H28" s="60"/>
      <c r="I28" s="9"/>
      <c r="K28" s="5"/>
    </row>
    <row r="29" spans="1:11">
      <c r="A29" s="54">
        <f t="shared" si="1"/>
        <v>16</v>
      </c>
      <c r="B29" s="62" t="s">
        <v>496</v>
      </c>
      <c r="C29" s="54">
        <f>'Plan Project 13-14'!A371</f>
        <v>6</v>
      </c>
      <c r="D29" s="54">
        <f>'Plan Project 13-14'!G372</f>
        <v>60</v>
      </c>
      <c r="E29" s="54">
        <f>'Plan Project 13-14'!H372</f>
        <v>2748</v>
      </c>
      <c r="F29" s="209">
        <f>'Plan Project 13-14'!I372</f>
        <v>3196</v>
      </c>
      <c r="G29" s="56">
        <f>'Plan Project 13-14'!J372</f>
        <v>12.85</v>
      </c>
      <c r="H29" s="60" t="s">
        <v>1139</v>
      </c>
      <c r="I29" s="9"/>
      <c r="K29" s="5"/>
    </row>
    <row r="30" spans="1:11">
      <c r="A30" s="54">
        <f t="shared" si="1"/>
        <v>17</v>
      </c>
      <c r="B30" s="325" t="s">
        <v>498</v>
      </c>
      <c r="C30" s="54">
        <f>'Plan Project 13-14'!A382</f>
        <v>9</v>
      </c>
      <c r="D30" s="54">
        <f>'Plan Project 13-14'!G383</f>
        <v>27</v>
      </c>
      <c r="E30" s="54">
        <f>'Plan Project 13-14'!H383</f>
        <v>1877</v>
      </c>
      <c r="F30" s="209">
        <f>'Plan Project 13-14'!I383</f>
        <v>1954</v>
      </c>
      <c r="G30" s="56">
        <f>'Plan Project 13-14'!J383</f>
        <v>56.5</v>
      </c>
      <c r="H30" s="60"/>
      <c r="I30" s="9"/>
      <c r="K30" s="5"/>
    </row>
    <row r="31" spans="1:11">
      <c r="A31" s="54">
        <f t="shared" si="1"/>
        <v>18</v>
      </c>
      <c r="B31" s="62" t="s">
        <v>501</v>
      </c>
      <c r="C31" s="54">
        <f>'Plan Project 13-14'!A402</f>
        <v>18</v>
      </c>
      <c r="D31" s="54">
        <f>'Plan Project 13-14'!G403</f>
        <v>585</v>
      </c>
      <c r="E31" s="54">
        <f>'Plan Project 13-14'!H403</f>
        <v>16278</v>
      </c>
      <c r="F31" s="209">
        <f>'Plan Project 13-14'!I403</f>
        <v>28766</v>
      </c>
      <c r="G31" s="56">
        <f>'Plan Project 13-14'!J403</f>
        <v>123.40239999999999</v>
      </c>
      <c r="H31" s="60"/>
      <c r="I31" s="9"/>
      <c r="K31" s="5"/>
    </row>
    <row r="32" spans="1:11">
      <c r="A32" s="54">
        <f t="shared" si="1"/>
        <v>19</v>
      </c>
      <c r="B32" s="62" t="s">
        <v>1558</v>
      </c>
      <c r="C32" s="54">
        <f>'Plan Project 13-14'!A405</f>
        <v>1</v>
      </c>
      <c r="D32" s="209">
        <f>'Plan Project 13-14'!G406</f>
        <v>28</v>
      </c>
      <c r="E32" s="54">
        <f>'Plan Project 13-14'!H406</f>
        <v>896</v>
      </c>
      <c r="F32" s="209">
        <f>'Plan Project 13-14'!I406</f>
        <v>2688</v>
      </c>
      <c r="G32" s="56">
        <f>'Plan Project 13-14'!J406</f>
        <v>69.888000000000005</v>
      </c>
      <c r="H32" s="60" t="s">
        <v>1584</v>
      </c>
      <c r="I32" s="9"/>
      <c r="K32" s="5"/>
    </row>
    <row r="33" spans="1:11" s="7" customFormat="1" ht="14.25" customHeight="1">
      <c r="A33" s="905" t="s">
        <v>420</v>
      </c>
      <c r="B33" s="905"/>
      <c r="C33" s="52">
        <f>SUM(C14:C32)</f>
        <v>261</v>
      </c>
      <c r="D33" s="52">
        <f t="shared" ref="D33:G33" si="2">SUM(D14:D32)</f>
        <v>7617</v>
      </c>
      <c r="E33" s="52">
        <f t="shared" si="2"/>
        <v>236559</v>
      </c>
      <c r="F33" s="52">
        <f t="shared" si="2"/>
        <v>838469</v>
      </c>
      <c r="G33" s="848">
        <f t="shared" si="2"/>
        <v>9078.3531909090925</v>
      </c>
      <c r="H33" s="53"/>
      <c r="I33" s="8"/>
      <c r="J33" s="10"/>
      <c r="K33" s="8"/>
    </row>
    <row r="34" spans="1:11" s="13" customFormat="1" ht="14.25" customHeight="1">
      <c r="A34" s="893" t="s">
        <v>421</v>
      </c>
      <c r="B34" s="893"/>
      <c r="C34" s="38">
        <f>C33+C10</f>
        <v>281</v>
      </c>
      <c r="D34" s="38">
        <f>D33+D10</f>
        <v>7677</v>
      </c>
      <c r="E34" s="38">
        <f>E33+E10</f>
        <v>239049</v>
      </c>
      <c r="F34" s="38">
        <f>F33+F10</f>
        <v>845439</v>
      </c>
      <c r="G34" s="39">
        <f>G33+G10</f>
        <v>9253.3531909090925</v>
      </c>
      <c r="H34" s="40"/>
      <c r="I34" s="11"/>
      <c r="J34" s="12"/>
      <c r="K34" s="12"/>
    </row>
    <row r="35" spans="1:11" s="7" customFormat="1" ht="12"/>
  </sheetData>
  <mergeCells count="11">
    <mergeCell ref="A34:B34"/>
    <mergeCell ref="A1:H1"/>
    <mergeCell ref="A2:H2"/>
    <mergeCell ref="A3:H3"/>
    <mergeCell ref="A12:B12"/>
    <mergeCell ref="A33:B33"/>
    <mergeCell ref="A4:A5"/>
    <mergeCell ref="C4:F4"/>
    <mergeCell ref="G4:G5"/>
    <mergeCell ref="H4:H5"/>
    <mergeCell ref="B4:B5"/>
  </mergeCells>
  <printOptions horizontalCentered="1" verticalCentered="1"/>
  <pageMargins left="1" right="1" top="0.8" bottom="0.8" header="0.25" footer="0.25"/>
  <pageSetup paperSize="9" scale="85" orientation="landscape" r:id="rId1"/>
  <headerFooter>
    <oddHeader>&amp;R&amp;14SUMMARY OF TRAINING PLAN, 2013-14</oddHeader>
    <oddFooter>&amp;RPage &amp;P+3&amp;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O85"/>
  <sheetViews>
    <sheetView topLeftCell="A10" workbookViewId="0">
      <selection activeCell="Q28" sqref="Q28"/>
    </sheetView>
  </sheetViews>
  <sheetFormatPr defaultRowHeight="12.75"/>
  <cols>
    <col min="1" max="1" width="3.85546875" style="4" customWidth="1"/>
    <col min="2" max="2" width="18.5703125" style="4" customWidth="1"/>
    <col min="3" max="3" width="8.28515625" style="4" customWidth="1"/>
    <col min="4" max="4" width="7.85546875" style="4" customWidth="1"/>
    <col min="5" max="5" width="10.42578125" style="4" customWidth="1"/>
    <col min="6" max="6" width="9.7109375" style="4" customWidth="1"/>
    <col min="7" max="7" width="8.140625" style="4" customWidth="1"/>
    <col min="8" max="8" width="8.28515625" style="4" customWidth="1"/>
    <col min="9" max="9" width="7.28515625" style="4" customWidth="1"/>
    <col min="10" max="10" width="7.140625" style="4" customWidth="1"/>
    <col min="11" max="11" width="7.7109375" style="4" customWidth="1"/>
    <col min="12" max="12" width="11.140625" style="4" customWidth="1"/>
    <col min="13" max="13" width="12.140625" style="4" customWidth="1"/>
    <col min="14" max="14" width="11.28515625" style="4" customWidth="1"/>
    <col min="15" max="15" width="16.28515625" style="4" customWidth="1"/>
    <col min="16" max="16384" width="9.140625" style="4"/>
  </cols>
  <sheetData>
    <row r="1" spans="1:15" ht="19.5" customHeight="1">
      <c r="A1" s="929" t="s">
        <v>23</v>
      </c>
      <c r="B1" s="930"/>
      <c r="C1" s="930"/>
      <c r="D1" s="930"/>
      <c r="E1" s="930"/>
      <c r="F1" s="930"/>
      <c r="G1" s="930"/>
      <c r="H1" s="930"/>
      <c r="I1" s="930"/>
      <c r="J1" s="930"/>
      <c r="K1" s="930"/>
      <c r="L1" s="930"/>
      <c r="M1" s="930"/>
      <c r="N1" s="930"/>
      <c r="O1" s="930"/>
    </row>
    <row r="2" spans="1:15" ht="23.25" customHeight="1">
      <c r="A2" s="929" t="s">
        <v>4</v>
      </c>
      <c r="B2" s="930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</row>
    <row r="3" spans="1:15" ht="19.5" customHeight="1">
      <c r="A3" s="929" t="s">
        <v>1119</v>
      </c>
      <c r="B3" s="930"/>
      <c r="C3" s="930"/>
      <c r="D3" s="930"/>
      <c r="E3" s="930"/>
      <c r="F3" s="930"/>
      <c r="G3" s="930"/>
      <c r="H3" s="930"/>
      <c r="I3" s="930"/>
      <c r="J3" s="930"/>
      <c r="K3" s="930"/>
      <c r="L3" s="930"/>
      <c r="M3" s="930"/>
      <c r="N3" s="930"/>
      <c r="O3" s="930"/>
    </row>
    <row r="4" spans="1:15" ht="12.75" customHeight="1">
      <c r="A4" s="919" t="s">
        <v>2</v>
      </c>
      <c r="B4" s="919" t="s">
        <v>5</v>
      </c>
      <c r="C4" s="931" t="s">
        <v>1120</v>
      </c>
      <c r="D4" s="931"/>
      <c r="E4" s="931"/>
      <c r="F4" s="931"/>
      <c r="G4" s="931" t="s">
        <v>16</v>
      </c>
      <c r="H4" s="931"/>
      <c r="I4" s="931"/>
      <c r="J4" s="931"/>
      <c r="K4" s="931"/>
      <c r="L4" s="931"/>
      <c r="M4" s="913" t="s">
        <v>1121</v>
      </c>
      <c r="N4" s="921" t="s">
        <v>318</v>
      </c>
      <c r="O4" s="921" t="s">
        <v>1122</v>
      </c>
    </row>
    <row r="5" spans="1:15" ht="12" customHeight="1">
      <c r="A5" s="919"/>
      <c r="B5" s="920"/>
      <c r="C5" s="913" t="s">
        <v>317</v>
      </c>
      <c r="D5" s="913" t="s">
        <v>415</v>
      </c>
      <c r="E5" s="913" t="s">
        <v>107</v>
      </c>
      <c r="F5" s="913" t="s">
        <v>146</v>
      </c>
      <c r="G5" s="913" t="s">
        <v>317</v>
      </c>
      <c r="H5" s="913" t="s">
        <v>415</v>
      </c>
      <c r="I5" s="932" t="s">
        <v>20</v>
      </c>
      <c r="J5" s="933"/>
      <c r="K5" s="934"/>
      <c r="L5" s="913" t="s">
        <v>146</v>
      </c>
      <c r="M5" s="915"/>
      <c r="N5" s="922"/>
      <c r="O5" s="922"/>
    </row>
    <row r="6" spans="1:15" ht="12" customHeight="1">
      <c r="A6" s="919"/>
      <c r="B6" s="920"/>
      <c r="C6" s="914"/>
      <c r="D6" s="914"/>
      <c r="E6" s="914"/>
      <c r="F6" s="914"/>
      <c r="G6" s="914"/>
      <c r="H6" s="914"/>
      <c r="I6" s="30" t="s">
        <v>0</v>
      </c>
      <c r="J6" s="30" t="s">
        <v>1</v>
      </c>
      <c r="K6" s="30" t="s">
        <v>224</v>
      </c>
      <c r="L6" s="914"/>
      <c r="M6" s="914"/>
      <c r="N6" s="923"/>
      <c r="O6" s="923"/>
    </row>
    <row r="7" spans="1:15" s="6" customFormat="1" ht="12" customHeight="1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  <c r="H7" s="24">
        <v>8</v>
      </c>
      <c r="I7" s="24">
        <v>9</v>
      </c>
      <c r="J7" s="24">
        <v>10</v>
      </c>
      <c r="K7" s="24">
        <v>11</v>
      </c>
      <c r="L7" s="24">
        <v>12</v>
      </c>
      <c r="M7" s="24">
        <v>13</v>
      </c>
      <c r="N7" s="24">
        <v>14</v>
      </c>
      <c r="O7" s="24">
        <v>15</v>
      </c>
    </row>
    <row r="8" spans="1:15" ht="18" customHeight="1">
      <c r="A8" s="927" t="s">
        <v>29</v>
      </c>
      <c r="B8" s="928"/>
      <c r="C8" s="928"/>
      <c r="D8" s="928"/>
      <c r="E8" s="928"/>
      <c r="F8" s="928"/>
      <c r="G8" s="928"/>
      <c r="H8" s="928"/>
      <c r="I8" s="928"/>
      <c r="J8" s="928"/>
      <c r="K8" s="928"/>
      <c r="L8" s="928"/>
      <c r="M8" s="928"/>
      <c r="N8" s="928"/>
      <c r="O8" s="928"/>
    </row>
    <row r="9" spans="1:15" s="7" customFormat="1" ht="14.25" customHeight="1">
      <c r="A9" s="47">
        <v>1</v>
      </c>
      <c r="B9" s="48" t="s">
        <v>4</v>
      </c>
      <c r="C9" s="49">
        <v>9</v>
      </c>
      <c r="D9" s="49">
        <v>18</v>
      </c>
      <c r="E9" s="49">
        <v>440</v>
      </c>
      <c r="F9" s="49">
        <v>1725</v>
      </c>
      <c r="G9" s="47">
        <f>'Achievement 12-13'!A19</f>
        <v>10</v>
      </c>
      <c r="H9" s="47">
        <v>18</v>
      </c>
      <c r="I9" s="47">
        <f>'Achievement 12-13'!J20</f>
        <v>464</v>
      </c>
      <c r="J9" s="47">
        <f>'Achievement 12-13'!K20</f>
        <v>19</v>
      </c>
      <c r="K9" s="47">
        <f>'Achievement 12-13'!L20</f>
        <v>483</v>
      </c>
      <c r="L9" s="47">
        <f>'Achievement 12-13'!M20</f>
        <v>1805</v>
      </c>
      <c r="M9" s="50">
        <v>40</v>
      </c>
      <c r="N9" s="213">
        <f>'Achievement 12-13'!O20</f>
        <v>39.99738</v>
      </c>
      <c r="O9" s="216"/>
    </row>
    <row r="10" spans="1:15" s="7" customFormat="1" ht="14.25" customHeight="1">
      <c r="A10" s="47">
        <v>2</v>
      </c>
      <c r="B10" s="48" t="s">
        <v>31</v>
      </c>
      <c r="C10" s="49">
        <v>5</v>
      </c>
      <c r="D10" s="49">
        <v>56</v>
      </c>
      <c r="E10" s="49">
        <v>1320</v>
      </c>
      <c r="F10" s="49">
        <v>4920</v>
      </c>
      <c r="G10" s="47">
        <f>'Achievement 12-13'!A26</f>
        <v>5</v>
      </c>
      <c r="H10" s="47">
        <f>'Achievement 12-13'!H27</f>
        <v>62</v>
      </c>
      <c r="I10" s="47">
        <f>'Achievement 12-13'!J27</f>
        <v>1527</v>
      </c>
      <c r="J10" s="47">
        <f>'Achievement 12-13'!K27</f>
        <v>14</v>
      </c>
      <c r="K10" s="47">
        <f>'Achievement 12-13'!L27</f>
        <v>1541</v>
      </c>
      <c r="L10" s="47">
        <f>'Achievement 12-13'!M27</f>
        <v>5417</v>
      </c>
      <c r="M10" s="50">
        <v>85</v>
      </c>
      <c r="N10" s="213">
        <f>'Achievement 12-13'!O27</f>
        <v>84.210000000000008</v>
      </c>
      <c r="O10" s="224"/>
    </row>
    <row r="11" spans="1:15" s="7" customFormat="1" ht="18" customHeight="1">
      <c r="A11" s="917" t="s">
        <v>1125</v>
      </c>
      <c r="B11" s="918"/>
      <c r="C11" s="221">
        <f t="shared" ref="C11:N11" si="0">SUM(C9:C10)</f>
        <v>14</v>
      </c>
      <c r="D11" s="221">
        <f t="shared" si="0"/>
        <v>74</v>
      </c>
      <c r="E11" s="221">
        <f t="shared" si="0"/>
        <v>1760</v>
      </c>
      <c r="F11" s="221">
        <f>SUM(F9:F10)</f>
        <v>6645</v>
      </c>
      <c r="G11" s="221">
        <f t="shared" si="0"/>
        <v>15</v>
      </c>
      <c r="H11" s="221">
        <f t="shared" si="0"/>
        <v>80</v>
      </c>
      <c r="I11" s="221">
        <f t="shared" si="0"/>
        <v>1991</v>
      </c>
      <c r="J11" s="221">
        <f t="shared" si="0"/>
        <v>33</v>
      </c>
      <c r="K11" s="221">
        <f t="shared" si="0"/>
        <v>2024</v>
      </c>
      <c r="L11" s="221">
        <f t="shared" si="0"/>
        <v>7222</v>
      </c>
      <c r="M11" s="222">
        <f>SUM(M9:M10)</f>
        <v>125</v>
      </c>
      <c r="N11" s="223">
        <f t="shared" si="0"/>
        <v>124.20738</v>
      </c>
      <c r="O11" s="225"/>
    </row>
    <row r="12" spans="1:15" ht="17.25" customHeight="1">
      <c r="A12" s="924" t="s">
        <v>310</v>
      </c>
      <c r="B12" s="925"/>
      <c r="C12" s="925"/>
      <c r="D12" s="925"/>
      <c r="E12" s="925"/>
      <c r="F12" s="925"/>
      <c r="G12" s="925"/>
      <c r="H12" s="925"/>
      <c r="I12" s="925"/>
      <c r="J12" s="925"/>
      <c r="K12" s="925"/>
      <c r="L12" s="925"/>
      <c r="M12" s="925"/>
      <c r="N12" s="925"/>
      <c r="O12" s="926"/>
    </row>
    <row r="13" spans="1:15" ht="15" customHeight="1">
      <c r="A13" s="47">
        <v>1</v>
      </c>
      <c r="B13" s="827" t="s">
        <v>970</v>
      </c>
      <c r="C13" s="47">
        <f>'Achievement 12-13'!A49</f>
        <v>4</v>
      </c>
      <c r="D13" s="47">
        <f>'Achievement 12-13'!D50</f>
        <v>4</v>
      </c>
      <c r="E13" s="47">
        <f>'Achievement 12-13'!E50</f>
        <v>120</v>
      </c>
      <c r="F13" s="47">
        <f>'Achievement 12-13'!G50</f>
        <v>600</v>
      </c>
      <c r="G13" s="47">
        <v>4</v>
      </c>
      <c r="H13" s="47">
        <f>'Achievement 12-13'!H50</f>
        <v>4</v>
      </c>
      <c r="I13" s="47">
        <f>'Achievement 12-13'!J50</f>
        <v>115</v>
      </c>
      <c r="J13" s="47">
        <f>'Achievement 12-13'!K50</f>
        <v>0</v>
      </c>
      <c r="K13" s="47">
        <f>'Achievement 12-13'!L50</f>
        <v>115</v>
      </c>
      <c r="L13" s="47">
        <f>'Achievement 12-13'!M50</f>
        <v>575</v>
      </c>
      <c r="M13" s="50">
        <f>'Achievement 12-13'!N50</f>
        <v>12</v>
      </c>
      <c r="N13" s="213">
        <f>'Achievement 12-13'!O50</f>
        <v>11.11</v>
      </c>
      <c r="O13" s="217"/>
    </row>
    <row r="14" spans="1:15" ht="15.75" customHeight="1">
      <c r="A14" s="47">
        <f>A13+1</f>
        <v>2</v>
      </c>
      <c r="B14" s="827" t="s">
        <v>371</v>
      </c>
      <c r="C14" s="47">
        <f>'Achievement 12-13'!A53</f>
        <v>2</v>
      </c>
      <c r="D14" s="47">
        <f>'Achievement 12-13'!D54</f>
        <v>4</v>
      </c>
      <c r="E14" s="47">
        <f>'Achievement 12-13'!E54</f>
        <v>75</v>
      </c>
      <c r="F14" s="47">
        <f>'Achievement 12-13'!G54</f>
        <v>150</v>
      </c>
      <c r="G14" s="47">
        <v>3</v>
      </c>
      <c r="H14" s="47">
        <v>3</v>
      </c>
      <c r="I14" s="47">
        <f>'Achievement 12-13'!J54</f>
        <v>122</v>
      </c>
      <c r="J14" s="47">
        <f>'Achievement 12-13'!K54</f>
        <v>14</v>
      </c>
      <c r="K14" s="47">
        <f>'Achievement 12-13'!L54</f>
        <v>136</v>
      </c>
      <c r="L14" s="47">
        <f>'Achievement 12-13'!M54</f>
        <v>195</v>
      </c>
      <c r="M14" s="50">
        <f>'Achievement 12-13'!N54</f>
        <v>7</v>
      </c>
      <c r="N14" s="213">
        <f>'Achievement 12-13'!O54</f>
        <v>7.57</v>
      </c>
      <c r="O14" s="217"/>
    </row>
    <row r="15" spans="1:15" ht="14.25" customHeight="1">
      <c r="A15" s="47">
        <f t="shared" ref="A15:A31" si="1">A14+1</f>
        <v>3</v>
      </c>
      <c r="B15" s="828" t="s">
        <v>971</v>
      </c>
      <c r="C15" s="65">
        <f>'Achievement 12-13'!A59</f>
        <v>4</v>
      </c>
      <c r="D15" s="47">
        <f>'Achievement 12-13'!D60</f>
        <v>5</v>
      </c>
      <c r="E15" s="47">
        <f>'Achievement 12-13'!E60</f>
        <v>189</v>
      </c>
      <c r="F15" s="47">
        <f>'Achievement 12-13'!G60</f>
        <v>432</v>
      </c>
      <c r="G15" s="47">
        <v>3</v>
      </c>
      <c r="H15" s="47">
        <f>'Achievement 12-13'!H60</f>
        <v>4</v>
      </c>
      <c r="I15" s="47">
        <f>'Achievement 12-13'!J60</f>
        <v>305</v>
      </c>
      <c r="J15" s="47">
        <f>'Achievement 12-13'!K60</f>
        <v>5</v>
      </c>
      <c r="K15" s="47">
        <f>'Achievement 12-13'!L60</f>
        <v>310</v>
      </c>
      <c r="L15" s="47">
        <f>'Achievement 12-13'!M60</f>
        <v>310</v>
      </c>
      <c r="M15" s="50">
        <f>'Achievement 12-13'!N60</f>
        <v>5.5</v>
      </c>
      <c r="N15" s="213">
        <f>'Achievement 12-13'!O60</f>
        <v>7.0699999999999994</v>
      </c>
      <c r="O15" s="217"/>
    </row>
    <row r="16" spans="1:15">
      <c r="A16" s="47">
        <f t="shared" si="1"/>
        <v>4</v>
      </c>
      <c r="B16" s="828" t="s">
        <v>972</v>
      </c>
      <c r="C16" s="58">
        <f>'Achievement 12-13'!A65</f>
        <v>4</v>
      </c>
      <c r="D16" s="47">
        <f>'Achievement 12-13'!D66</f>
        <v>3219</v>
      </c>
      <c r="E16" s="47">
        <f>'Achievement 12-13'!E66</f>
        <v>80518</v>
      </c>
      <c r="F16" s="47">
        <f>'Achievement 12-13'!G66</f>
        <v>520550</v>
      </c>
      <c r="G16" s="47">
        <v>4</v>
      </c>
      <c r="H16" s="47">
        <f>'Achievement 12-13'!H66</f>
        <v>3211</v>
      </c>
      <c r="I16" s="47">
        <f>'Achievement 12-13'!J66</f>
        <v>64105</v>
      </c>
      <c r="J16" s="47">
        <f>'Achievement 12-13'!K66</f>
        <v>16000</v>
      </c>
      <c r="K16" s="47">
        <f>'Achievement 12-13'!L66</f>
        <v>80105</v>
      </c>
      <c r="L16" s="47">
        <f>'Achievement 12-13'!M66</f>
        <v>520105</v>
      </c>
      <c r="M16" s="50">
        <f>'Achievement 12-13'!N66</f>
        <v>6269.4</v>
      </c>
      <c r="N16" s="213">
        <f>'Achievement 12-13'!O66</f>
        <v>6265.99</v>
      </c>
      <c r="O16" s="815"/>
    </row>
    <row r="17" spans="1:15" ht="13.5" customHeight="1">
      <c r="A17" s="47">
        <f t="shared" si="1"/>
        <v>5</v>
      </c>
      <c r="B17" s="829" t="s">
        <v>43</v>
      </c>
      <c r="C17" s="58">
        <f>'Achievement 12-13'!A69</f>
        <v>2</v>
      </c>
      <c r="D17" s="47">
        <f>'Achievement 12-13'!D70</f>
        <v>149</v>
      </c>
      <c r="E17" s="47">
        <f>'Achievement 12-13'!E70</f>
        <v>3324</v>
      </c>
      <c r="F17" s="47">
        <f>'Achievement 12-13'!G70</f>
        <v>52560</v>
      </c>
      <c r="G17" s="47">
        <v>2</v>
      </c>
      <c r="H17" s="47">
        <f>'Achievement 12-13'!H70</f>
        <v>106</v>
      </c>
      <c r="I17" s="47">
        <f>'Achievement 12-13'!J70</f>
        <v>515</v>
      </c>
      <c r="J17" s="47">
        <f>'Achievement 12-13'!K70</f>
        <v>1757</v>
      </c>
      <c r="K17" s="47">
        <f>'Achievement 12-13'!L70</f>
        <v>2272</v>
      </c>
      <c r="L17" s="47">
        <f>'Achievement 12-13'!M70</f>
        <v>25380</v>
      </c>
      <c r="M17" s="50">
        <f>'Achievement 12-13'!N70</f>
        <v>349.06</v>
      </c>
      <c r="N17" s="213">
        <f>'Achievement 12-13'!O70</f>
        <v>194.44</v>
      </c>
      <c r="O17" s="217"/>
    </row>
    <row r="18" spans="1:15" ht="13.5" customHeight="1">
      <c r="A18" s="47">
        <f t="shared" si="1"/>
        <v>6</v>
      </c>
      <c r="B18" s="829" t="s">
        <v>973</v>
      </c>
      <c r="C18" s="58">
        <v>0</v>
      </c>
      <c r="D18" s="47">
        <f>'Achievement 12-13'!D77</f>
        <v>0</v>
      </c>
      <c r="E18" s="47">
        <f>'Achievement 12-13'!E77</f>
        <v>0</v>
      </c>
      <c r="F18" s="47">
        <f>'Achievement 12-13'!G77</f>
        <v>0</v>
      </c>
      <c r="G18" s="47">
        <v>5</v>
      </c>
      <c r="H18" s="47">
        <f>'Achievement 12-13'!H77</f>
        <v>145</v>
      </c>
      <c r="I18" s="47">
        <f>'Achievement 12-13'!J77</f>
        <v>2581</v>
      </c>
      <c r="J18" s="47">
        <f>'Achievement 12-13'!K77</f>
        <v>1685</v>
      </c>
      <c r="K18" s="47">
        <f>'Achievement 12-13'!L77</f>
        <v>4266</v>
      </c>
      <c r="L18" s="47">
        <f>'Achievement 12-13'!M77</f>
        <v>4350</v>
      </c>
      <c r="M18" s="50">
        <f>'Achievement 12-13'!N77</f>
        <v>46.685000000000002</v>
      </c>
      <c r="N18" s="50">
        <f>'Achievement 12-13'!O77</f>
        <v>47.925000000000004</v>
      </c>
      <c r="O18" s="217"/>
    </row>
    <row r="19" spans="1:15" ht="13.5" customHeight="1">
      <c r="A19" s="47">
        <f t="shared" si="1"/>
        <v>7</v>
      </c>
      <c r="B19" s="829" t="s">
        <v>35</v>
      </c>
      <c r="C19" s="58">
        <f>'Achievement 12-13'!A112</f>
        <v>20</v>
      </c>
      <c r="D19" s="47">
        <f>'Achievement 12-13'!D114</f>
        <v>448</v>
      </c>
      <c r="E19" s="47">
        <f>'Achievement 12-13'!E114</f>
        <v>1155</v>
      </c>
      <c r="F19" s="47">
        <f>'Achievement 12-13'!G114</f>
        <v>18630</v>
      </c>
      <c r="G19" s="47">
        <v>15</v>
      </c>
      <c r="H19" s="47">
        <f>'Achievement 12-13'!H114</f>
        <v>437</v>
      </c>
      <c r="I19" s="47">
        <f>'Achievement 12-13'!J114</f>
        <v>7570</v>
      </c>
      <c r="J19" s="47">
        <f>'Achievement 12-13'!K114</f>
        <v>5665</v>
      </c>
      <c r="K19" s="47">
        <f>'Achievement 12-13'!L114</f>
        <v>9380</v>
      </c>
      <c r="L19" s="47">
        <f>'Achievement 12-13'!M114</f>
        <v>18360</v>
      </c>
      <c r="M19" s="50">
        <f>'Achievement 12-13'!N114</f>
        <v>94.389999999999986</v>
      </c>
      <c r="N19" s="213">
        <f>'Achievement 12-13'!O114</f>
        <v>90.33</v>
      </c>
      <c r="O19" s="217"/>
    </row>
    <row r="20" spans="1:15" ht="14.25" customHeight="1">
      <c r="A20" s="47">
        <f t="shared" si="1"/>
        <v>8</v>
      </c>
      <c r="B20" s="829" t="s">
        <v>1145</v>
      </c>
      <c r="C20" s="58">
        <f>'Achievement 12-13'!A206</f>
        <v>72</v>
      </c>
      <c r="D20" s="47">
        <f>'Achievement 12-13'!D208</f>
        <v>662</v>
      </c>
      <c r="E20" s="47">
        <f>'Achievement 12-13'!E208</f>
        <v>2139</v>
      </c>
      <c r="F20" s="47">
        <f>'Achievement 12-13'!G208</f>
        <v>40647</v>
      </c>
      <c r="G20" s="47">
        <v>38</v>
      </c>
      <c r="H20" s="47">
        <f>'Achievement 12-13'!H208</f>
        <v>805</v>
      </c>
      <c r="I20" s="47">
        <f>'Achievement 12-13'!J208</f>
        <v>21151</v>
      </c>
      <c r="J20" s="47">
        <f>'Achievement 12-13'!K208</f>
        <v>11808</v>
      </c>
      <c r="K20" s="47">
        <f>'Achievement 12-13'!L208</f>
        <v>32460.6</v>
      </c>
      <c r="L20" s="47">
        <f>'Achievement 12-13'!M208</f>
        <v>63007.31</v>
      </c>
      <c r="M20" s="50">
        <f>'Achievement 12-13'!N208</f>
        <v>680.80000000000007</v>
      </c>
      <c r="N20" s="213">
        <f>'Achievement 12-13'!O208</f>
        <v>674.80499999999995</v>
      </c>
      <c r="O20" s="217"/>
    </row>
    <row r="21" spans="1:15" ht="14.25" customHeight="1">
      <c r="A21" s="47">
        <f t="shared" si="1"/>
        <v>9</v>
      </c>
      <c r="B21" s="829" t="s">
        <v>32</v>
      </c>
      <c r="C21" s="58">
        <f>'Achievement 12-13'!A210</f>
        <v>1</v>
      </c>
      <c r="D21" s="47">
        <f>'Achievement 12-13'!D211</f>
        <v>36</v>
      </c>
      <c r="E21" s="47">
        <f>'Achievement 12-13'!E211</f>
        <v>1400</v>
      </c>
      <c r="F21" s="47">
        <f>'Achievement 12-13'!G211</f>
        <v>1400</v>
      </c>
      <c r="G21" s="47">
        <v>1</v>
      </c>
      <c r="H21" s="47">
        <f>'Achievement 12-13'!H211</f>
        <v>36</v>
      </c>
      <c r="I21" s="47">
        <f>'Achievement 12-13'!J211</f>
        <v>0</v>
      </c>
      <c r="J21" s="47">
        <f>'Achievement 12-13'!K211</f>
        <v>1400</v>
      </c>
      <c r="K21" s="47">
        <f>'Achievement 12-13'!L211</f>
        <v>1400</v>
      </c>
      <c r="L21" s="47">
        <f>'Achievement 12-13'!M211</f>
        <v>1400</v>
      </c>
      <c r="M21" s="50">
        <f>'Achievement 12-13'!N211</f>
        <v>6.53</v>
      </c>
      <c r="N21" s="213">
        <f>'Achievement 12-13'!O211</f>
        <v>6.52</v>
      </c>
      <c r="O21" s="218" t="s">
        <v>1123</v>
      </c>
    </row>
    <row r="22" spans="1:15" ht="14.25" customHeight="1">
      <c r="A22" s="47">
        <f t="shared" si="1"/>
        <v>10</v>
      </c>
      <c r="B22" s="829" t="s">
        <v>1013</v>
      </c>
      <c r="C22" s="58">
        <f>'Achievement 12-13'!A215</f>
        <v>3</v>
      </c>
      <c r="D22" s="47">
        <f>'Achievement 12-13'!D216</f>
        <v>95</v>
      </c>
      <c r="E22" s="47">
        <f>'Achievement 12-13'!E216</f>
        <v>2852</v>
      </c>
      <c r="F22" s="47">
        <f>'Achievement 12-13'!G216</f>
        <v>5904</v>
      </c>
      <c r="G22" s="47">
        <v>3</v>
      </c>
      <c r="H22" s="47">
        <f>'Achievement 12-13'!H216</f>
        <v>95</v>
      </c>
      <c r="I22" s="47">
        <f>'Achievement 12-13'!J216</f>
        <v>887</v>
      </c>
      <c r="J22" s="47">
        <f>'Achievement 12-13'!K216</f>
        <v>1709</v>
      </c>
      <c r="K22" s="47">
        <f>'Achievement 12-13'!L216</f>
        <v>2596</v>
      </c>
      <c r="L22" s="47">
        <f>'Achievement 12-13'!M216</f>
        <v>5357</v>
      </c>
      <c r="M22" s="50">
        <f>'Achievement 12-13'!N216</f>
        <v>156</v>
      </c>
      <c r="N22" s="213">
        <f>'Achievement 12-13'!O216</f>
        <v>153.63999999999999</v>
      </c>
      <c r="O22" s="218" t="s">
        <v>1123</v>
      </c>
    </row>
    <row r="23" spans="1:15" ht="14.25" customHeight="1">
      <c r="A23" s="47">
        <f t="shared" si="1"/>
        <v>11</v>
      </c>
      <c r="B23" s="829" t="s">
        <v>39</v>
      </c>
      <c r="C23" s="58">
        <f>'Achievement 12-13'!A229</f>
        <v>12</v>
      </c>
      <c r="D23" s="47">
        <f>'Achievement 12-13'!D230</f>
        <v>408</v>
      </c>
      <c r="E23" s="47">
        <f>'Achievement 12-13'!E230</f>
        <v>12208</v>
      </c>
      <c r="F23" s="47">
        <f>'Achievement 12-13'!G230</f>
        <v>358740</v>
      </c>
      <c r="G23" s="47">
        <v>12</v>
      </c>
      <c r="H23" s="47">
        <f>'Achievement 12-13'!H230</f>
        <v>424</v>
      </c>
      <c r="I23" s="47">
        <f>'Achievement 12-13'!J230</f>
        <v>667</v>
      </c>
      <c r="J23" s="47">
        <f>'Achievement 12-13'!K230</f>
        <v>9745</v>
      </c>
      <c r="K23" s="47">
        <f>'Achievement 12-13'!L230</f>
        <v>10412</v>
      </c>
      <c r="L23" s="47">
        <f>'Achievement 12-13'!M230</f>
        <v>296547</v>
      </c>
      <c r="M23" s="50">
        <f>'Achievement 12-13'!N230</f>
        <v>111.5</v>
      </c>
      <c r="N23" s="213">
        <f>'Achievement 12-13'!O230</f>
        <v>94.5</v>
      </c>
      <c r="O23" s="218" t="s">
        <v>1123</v>
      </c>
    </row>
    <row r="24" spans="1:15" ht="14.25" customHeight="1">
      <c r="A24" s="47">
        <f t="shared" si="1"/>
        <v>12</v>
      </c>
      <c r="B24" s="829" t="s">
        <v>1014</v>
      </c>
      <c r="C24" s="58">
        <v>0</v>
      </c>
      <c r="D24" s="58">
        <f>'Achievement 12-13'!I236</f>
        <v>0</v>
      </c>
      <c r="E24" s="58">
        <v>0</v>
      </c>
      <c r="F24" s="58">
        <v>0</v>
      </c>
      <c r="G24" s="47">
        <v>4</v>
      </c>
      <c r="H24" s="47">
        <f>'Achievement 12-13'!H236</f>
        <v>11</v>
      </c>
      <c r="I24" s="47">
        <f>'Achievement 12-13'!J236</f>
        <v>675</v>
      </c>
      <c r="J24" s="47">
        <f>'Achievement 12-13'!K236</f>
        <v>58</v>
      </c>
      <c r="K24" s="47">
        <f>'Achievement 12-13'!L236</f>
        <v>733</v>
      </c>
      <c r="L24" s="47">
        <f>'Achievement 12-13'!M236</f>
        <v>1404</v>
      </c>
      <c r="M24" s="50">
        <f>'Achievement 12-13'!N236</f>
        <v>31.71</v>
      </c>
      <c r="N24" s="213">
        <f>'Achievement 12-13'!O236</f>
        <v>31.71</v>
      </c>
      <c r="O24" s="217"/>
    </row>
    <row r="25" spans="1:15" ht="16.5" customHeight="1">
      <c r="A25" s="47">
        <f t="shared" si="1"/>
        <v>13</v>
      </c>
      <c r="B25" s="829" t="s">
        <v>372</v>
      </c>
      <c r="C25" s="58">
        <f>'Achievement 12-13'!A238</f>
        <v>1</v>
      </c>
      <c r="D25" s="47">
        <f>'Achievement 12-13'!D239</f>
        <v>6</v>
      </c>
      <c r="E25" s="47">
        <f>'Achievement 12-13'!E239</f>
        <v>102</v>
      </c>
      <c r="F25" s="47">
        <f>'Achievement 12-13'!G239</f>
        <v>306</v>
      </c>
      <c r="G25" s="47">
        <v>1</v>
      </c>
      <c r="H25" s="47">
        <f>'Achievement 12-13'!H239</f>
        <v>6</v>
      </c>
      <c r="I25" s="47">
        <f>'Achievement 12-13'!J239</f>
        <v>78</v>
      </c>
      <c r="J25" s="47">
        <f>'Achievement 12-13'!K239</f>
        <v>24</v>
      </c>
      <c r="K25" s="47">
        <f>'Achievement 12-13'!L239</f>
        <v>102</v>
      </c>
      <c r="L25" s="47">
        <f>'Achievement 12-13'!M239</f>
        <v>306</v>
      </c>
      <c r="M25" s="50">
        <f>'Achievement 12-13'!N239</f>
        <v>6.4219999999999997</v>
      </c>
      <c r="N25" s="213">
        <f>'Achievement 12-13'!O239</f>
        <v>6.4</v>
      </c>
      <c r="O25" s="217"/>
    </row>
    <row r="26" spans="1:15" ht="14.25" customHeight="1">
      <c r="A26" s="47">
        <f t="shared" si="1"/>
        <v>14</v>
      </c>
      <c r="B26" s="829" t="s">
        <v>274</v>
      </c>
      <c r="C26" s="229">
        <f>'Achievement 12-13'!A248</f>
        <v>8</v>
      </c>
      <c r="D26" s="47">
        <f>'Achievement 12-13'!D249</f>
        <v>64</v>
      </c>
      <c r="E26" s="47">
        <f>'Achievement 12-13'!E249</f>
        <v>3173</v>
      </c>
      <c r="F26" s="47">
        <f>'Achievement 12-13'!G249</f>
        <v>9197</v>
      </c>
      <c r="G26" s="47">
        <v>8</v>
      </c>
      <c r="H26" s="47">
        <f>'Achievement 12-13'!H249</f>
        <v>64</v>
      </c>
      <c r="I26" s="47">
        <f>'Achievement 12-13'!J249</f>
        <v>2646</v>
      </c>
      <c r="J26" s="47">
        <f>'Achievement 12-13'!K249</f>
        <v>437</v>
      </c>
      <c r="K26" s="47">
        <f>'Achievement 12-13'!L249</f>
        <v>3083</v>
      </c>
      <c r="L26" s="47">
        <f>'Achievement 12-13'!M249</f>
        <v>9077</v>
      </c>
      <c r="M26" s="50">
        <f>'Achievement 12-13'!N249</f>
        <v>125.22999999999998</v>
      </c>
      <c r="N26" s="213">
        <f>'Achievement 12-13'!O249</f>
        <v>147.72999999999999</v>
      </c>
      <c r="O26" s="217"/>
    </row>
    <row r="27" spans="1:15" ht="14.25" customHeight="1">
      <c r="A27" s="47">
        <f t="shared" si="1"/>
        <v>15</v>
      </c>
      <c r="B27" s="829" t="s">
        <v>375</v>
      </c>
      <c r="C27" s="58">
        <f>'Achievement 12-13'!A265</f>
        <v>15</v>
      </c>
      <c r="D27" s="47">
        <f>'Achievement 12-13'!D266</f>
        <v>515</v>
      </c>
      <c r="E27" s="47">
        <f>'Achievement 12-13'!E266</f>
        <v>7221</v>
      </c>
      <c r="F27" s="47">
        <f>'Achievement 12-13'!G266</f>
        <v>21764</v>
      </c>
      <c r="G27" s="47">
        <v>11</v>
      </c>
      <c r="H27" s="47">
        <f>'Achievement 12-13'!H266</f>
        <v>380</v>
      </c>
      <c r="I27" s="47">
        <f>'Achievement 12-13'!J266</f>
        <v>170</v>
      </c>
      <c r="J27" s="47">
        <f>'Achievement 12-13'!K266</f>
        <v>89</v>
      </c>
      <c r="K27" s="47">
        <f>'Achievement 12-13'!L266</f>
        <v>259</v>
      </c>
      <c r="L27" s="47">
        <f>'Achievement 12-13'!M266</f>
        <v>16615</v>
      </c>
      <c r="M27" s="50">
        <f>'Achievement 12-13'!N266</f>
        <v>198.52</v>
      </c>
      <c r="N27" s="213">
        <f>'Achievement 12-13'!O266</f>
        <v>162.92000000000002</v>
      </c>
      <c r="O27" s="217"/>
    </row>
    <row r="28" spans="1:15" ht="14.25" customHeight="1">
      <c r="A28" s="47">
        <f t="shared" si="1"/>
        <v>16</v>
      </c>
      <c r="B28" s="829" t="s">
        <v>40</v>
      </c>
      <c r="C28" s="66">
        <f>'Achievement 12-13'!A327</f>
        <v>45</v>
      </c>
      <c r="D28" s="219">
        <f>'Achievement 12-13'!D330</f>
        <v>638</v>
      </c>
      <c r="E28" s="219">
        <f>'Achievement 12-13'!E330</f>
        <v>1068</v>
      </c>
      <c r="F28" s="219">
        <f>'Achievement 12-13'!G330</f>
        <v>33015</v>
      </c>
      <c r="G28" s="219">
        <v>38</v>
      </c>
      <c r="H28" s="219">
        <f>'Achievement 12-13'!H330</f>
        <v>537</v>
      </c>
      <c r="I28" s="219">
        <f>'Achievement 12-13'!J330</f>
        <v>15009</v>
      </c>
      <c r="J28" s="219">
        <f>'Achievement 12-13'!K330</f>
        <v>3378</v>
      </c>
      <c r="K28" s="219">
        <f>'Achievement 12-13'!L330</f>
        <v>18363</v>
      </c>
      <c r="L28" s="219">
        <f>'Achievement 12-13'!M330</f>
        <v>33912</v>
      </c>
      <c r="M28" s="213">
        <f>'Achievement 12-13'!N330</f>
        <v>200</v>
      </c>
      <c r="N28" s="213">
        <f>'Achievement 12-13'!O330</f>
        <v>270.62</v>
      </c>
      <c r="O28" s="217"/>
    </row>
    <row r="29" spans="1:15" ht="14.25" customHeight="1">
      <c r="A29" s="47">
        <f t="shared" si="1"/>
        <v>17</v>
      </c>
      <c r="B29" s="829" t="s">
        <v>37</v>
      </c>
      <c r="C29" s="58">
        <v>20</v>
      </c>
      <c r="D29" s="205">
        <f>'Achievement 12-13'!D353</f>
        <v>295</v>
      </c>
      <c r="E29" s="47">
        <f>'Achievement 12-13'!E353</f>
        <v>10092</v>
      </c>
      <c r="F29" s="47">
        <f>'Achievement 12-13'!G353</f>
        <v>12894</v>
      </c>
      <c r="G29" s="47">
        <v>15</v>
      </c>
      <c r="H29" s="47">
        <f>'Achievement 12-13'!H353</f>
        <v>113</v>
      </c>
      <c r="I29" s="47">
        <f>'Achievement 12-13'!J353</f>
        <v>3070</v>
      </c>
      <c r="J29" s="47">
        <f>'Achievement 12-13'!K353</f>
        <v>1453</v>
      </c>
      <c r="K29" s="47">
        <f>'Achievement 12-13'!L353</f>
        <v>4523</v>
      </c>
      <c r="L29" s="47">
        <f>'Achievement 12-13'!M353</f>
        <v>6035</v>
      </c>
      <c r="M29" s="50">
        <f>'Achievement 12-13'!N353</f>
        <v>34.07</v>
      </c>
      <c r="N29" s="213">
        <f>'Achievement 12-13'!O353</f>
        <v>25.86</v>
      </c>
      <c r="O29" s="218" t="s">
        <v>1123</v>
      </c>
    </row>
    <row r="30" spans="1:15" ht="14.25" customHeight="1">
      <c r="A30" s="47">
        <f t="shared" si="1"/>
        <v>18</v>
      </c>
      <c r="B30" s="62" t="s">
        <v>33</v>
      </c>
      <c r="C30" s="58">
        <f>'Achievement 12-13'!A370</f>
        <v>16</v>
      </c>
      <c r="D30" s="47">
        <f>'Achievement 12-13'!D371</f>
        <v>71</v>
      </c>
      <c r="E30" s="47">
        <f>'Achievement 12-13'!E371</f>
        <v>696</v>
      </c>
      <c r="F30" s="47">
        <f>'Achievement 12-13'!G371</f>
        <v>3056</v>
      </c>
      <c r="G30" s="47">
        <v>16</v>
      </c>
      <c r="H30" s="47">
        <f>'Achievement 12-13'!H371</f>
        <v>71</v>
      </c>
      <c r="I30" s="47">
        <f>'Achievement 12-13'!J371</f>
        <v>732</v>
      </c>
      <c r="J30" s="47">
        <f>'Achievement 12-13'!K371</f>
        <v>115</v>
      </c>
      <c r="K30" s="47">
        <f>'Achievement 12-13'!L371</f>
        <v>847</v>
      </c>
      <c r="L30" s="47">
        <f>'Achievement 12-13'!M371</f>
        <v>2941</v>
      </c>
      <c r="M30" s="50">
        <f>'Achievement 12-13'!N371</f>
        <v>76.260000000000005</v>
      </c>
      <c r="N30" s="213">
        <f>'Achievement 12-13'!O371</f>
        <v>74.52</v>
      </c>
      <c r="O30" s="217"/>
    </row>
    <row r="31" spans="1:15" ht="14.25" customHeight="1">
      <c r="A31" s="47">
        <f t="shared" si="1"/>
        <v>19</v>
      </c>
      <c r="B31" s="62" t="s">
        <v>38</v>
      </c>
      <c r="C31" s="58">
        <f>'Achievement 12-13'!A390</f>
        <v>18</v>
      </c>
      <c r="D31" s="47">
        <f>'Achievement 12-13'!D391</f>
        <v>880</v>
      </c>
      <c r="E31" s="47">
        <f>'Achievement 12-13'!E391</f>
        <v>19580</v>
      </c>
      <c r="F31" s="47">
        <f>'Achievement 12-13'!G391</f>
        <v>42195</v>
      </c>
      <c r="G31" s="47">
        <v>16</v>
      </c>
      <c r="H31" s="47">
        <f>'Achievement 12-13'!H391</f>
        <v>642</v>
      </c>
      <c r="I31" s="47">
        <f>'Achievement 12-13'!J391</f>
        <v>1419</v>
      </c>
      <c r="J31" s="47">
        <f>'Achievement 12-13'!K391</f>
        <v>13620</v>
      </c>
      <c r="K31" s="47">
        <f>'Achievement 12-13'!L391</f>
        <v>15039</v>
      </c>
      <c r="L31" s="47">
        <f>'Achievement 12-13'!M391</f>
        <v>31294</v>
      </c>
      <c r="M31" s="50">
        <v>175</v>
      </c>
      <c r="N31" s="213">
        <v>168</v>
      </c>
      <c r="O31" s="217"/>
    </row>
    <row r="32" spans="1:15" s="7" customFormat="1" ht="14.25" customHeight="1">
      <c r="A32" s="916" t="s">
        <v>419</v>
      </c>
      <c r="B32" s="916"/>
      <c r="C32" s="64">
        <f t="shared" ref="C32:N32" si="2">SUM(C13:C31)</f>
        <v>247</v>
      </c>
      <c r="D32" s="64">
        <f t="shared" si="2"/>
        <v>7499</v>
      </c>
      <c r="E32" s="64">
        <f t="shared" si="2"/>
        <v>145912</v>
      </c>
      <c r="F32" s="64">
        <f t="shared" si="2"/>
        <v>1122040</v>
      </c>
      <c r="G32" s="64">
        <f t="shared" si="2"/>
        <v>199</v>
      </c>
      <c r="H32" s="64">
        <f t="shared" si="2"/>
        <v>7094</v>
      </c>
      <c r="I32" s="64">
        <f t="shared" si="2"/>
        <v>121817</v>
      </c>
      <c r="J32" s="64">
        <f t="shared" si="2"/>
        <v>68962</v>
      </c>
      <c r="K32" s="64">
        <f t="shared" si="2"/>
        <v>186401.6</v>
      </c>
      <c r="L32" s="64">
        <f t="shared" si="2"/>
        <v>1037170.31</v>
      </c>
      <c r="M32" s="206">
        <f t="shared" si="2"/>
        <v>8586.0769999999993</v>
      </c>
      <c r="N32" s="214">
        <f t="shared" si="2"/>
        <v>8441.66</v>
      </c>
      <c r="O32" s="214"/>
    </row>
    <row r="33" spans="1:15" s="13" customFormat="1" ht="24" customHeight="1">
      <c r="A33" s="783" t="s">
        <v>1529</v>
      </c>
      <c r="B33" s="783"/>
      <c r="C33" s="35">
        <f>C32+C11</f>
        <v>261</v>
      </c>
      <c r="D33" s="35">
        <f>D32+D11</f>
        <v>7573</v>
      </c>
      <c r="E33" s="35">
        <f>E32+E11</f>
        <v>147672</v>
      </c>
      <c r="F33" s="35">
        <f>F32+F11</f>
        <v>1128685</v>
      </c>
      <c r="G33" s="35">
        <f t="shared" ref="G33:M33" si="3">G11+G32</f>
        <v>214</v>
      </c>
      <c r="H33" s="35">
        <f t="shared" si="3"/>
        <v>7174</v>
      </c>
      <c r="I33" s="35">
        <f t="shared" si="3"/>
        <v>123808</v>
      </c>
      <c r="J33" s="35">
        <f t="shared" si="3"/>
        <v>68995</v>
      </c>
      <c r="K33" s="35">
        <f t="shared" si="3"/>
        <v>188425.60000000001</v>
      </c>
      <c r="L33" s="35">
        <f t="shared" si="3"/>
        <v>1044392.31</v>
      </c>
      <c r="M33" s="207">
        <f t="shared" si="3"/>
        <v>8711.0769999999993</v>
      </c>
      <c r="N33" s="220">
        <f>N32+N11</f>
        <v>8565.8673799999997</v>
      </c>
      <c r="O33" s="215"/>
    </row>
    <row r="34" spans="1:15" s="7" customFormat="1" ht="12"/>
    <row r="35" spans="1:15" s="7" customFormat="1" ht="12"/>
    <row r="42" spans="1:15">
      <c r="N42" s="4" t="s">
        <v>217</v>
      </c>
    </row>
    <row r="43" spans="1:15">
      <c r="N43" s="4" t="s">
        <v>217</v>
      </c>
    </row>
    <row r="59" spans="2:5">
      <c r="B59" s="5"/>
      <c r="D59" s="5"/>
      <c r="E59" s="5"/>
    </row>
    <row r="60" spans="2:5">
      <c r="B60" s="5"/>
      <c r="D60" s="5"/>
      <c r="E60" s="5"/>
    </row>
    <row r="61" spans="2:5">
      <c r="B61" s="5"/>
      <c r="D61" s="5"/>
      <c r="E61" s="5"/>
    </row>
    <row r="62" spans="2:5">
      <c r="B62" s="5"/>
      <c r="D62" s="5"/>
      <c r="E62" s="5"/>
    </row>
    <row r="63" spans="2:5">
      <c r="B63" s="5"/>
      <c r="D63" s="5"/>
      <c r="E63" s="5"/>
    </row>
    <row r="64" spans="2:5">
      <c r="B64" s="5"/>
      <c r="C64" s="5"/>
      <c r="D64" s="5"/>
      <c r="E64" s="5"/>
    </row>
    <row r="65" spans="2:5">
      <c r="B65" s="5"/>
      <c r="C65" s="5"/>
      <c r="D65" s="5"/>
      <c r="E65" s="5"/>
    </row>
    <row r="66" spans="2:5">
      <c r="B66" s="5"/>
      <c r="C66" s="5"/>
      <c r="D66" s="5"/>
      <c r="E66" s="5"/>
    </row>
    <row r="85" spans="2:2">
      <c r="B85" s="69"/>
    </row>
  </sheetData>
  <mergeCells count="22">
    <mergeCell ref="O4:O6"/>
    <mergeCell ref="A12:O12"/>
    <mergeCell ref="A8:O8"/>
    <mergeCell ref="A1:O1"/>
    <mergeCell ref="A2:O2"/>
    <mergeCell ref="A3:O3"/>
    <mergeCell ref="C4:F4"/>
    <mergeCell ref="G4:L4"/>
    <mergeCell ref="H5:H6"/>
    <mergeCell ref="I5:K5"/>
    <mergeCell ref="G5:G6"/>
    <mergeCell ref="F5:F6"/>
    <mergeCell ref="N4:N6"/>
    <mergeCell ref="E5:E6"/>
    <mergeCell ref="D5:D6"/>
    <mergeCell ref="C5:C6"/>
    <mergeCell ref="L5:L6"/>
    <mergeCell ref="M4:M6"/>
    <mergeCell ref="A32:B32"/>
    <mergeCell ref="A11:B11"/>
    <mergeCell ref="A4:A6"/>
    <mergeCell ref="B4:B6"/>
  </mergeCells>
  <phoneticPr fontId="4" type="noConversion"/>
  <pageMargins left="1" right="1" top="0.8" bottom="0.8" header="0.25" footer="0.25"/>
  <pageSetup paperSize="9" scale="85" orientation="landscape" r:id="rId1"/>
  <headerFooter>
    <oddHeader>&amp;R&amp;14SUMMARY OF TRAINING ACHIEVEMENT, 2012-13</oddHeader>
    <oddFooter>&amp;RPage &amp;P+2&amp;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R397"/>
  <sheetViews>
    <sheetView topLeftCell="A4" workbookViewId="0">
      <pane ySplit="1170" topLeftCell="A383" activePane="bottomLeft"/>
      <selection activeCell="A4" sqref="A1:XFD1048576"/>
      <selection pane="bottomLeft" activeCell="Q389" sqref="Q389"/>
    </sheetView>
  </sheetViews>
  <sheetFormatPr defaultRowHeight="12.75"/>
  <cols>
    <col min="1" max="1" width="4.7109375" style="79" customWidth="1"/>
    <col min="2" max="2" width="9.140625" style="79"/>
    <col min="3" max="3" width="26.140625" style="79" customWidth="1"/>
    <col min="4" max="4" width="6.85546875" style="79" customWidth="1"/>
    <col min="5" max="5" width="10.140625" style="79" customWidth="1"/>
    <col min="6" max="6" width="8.140625" style="79" customWidth="1"/>
    <col min="7" max="7" width="10.140625" style="79" customWidth="1"/>
    <col min="8" max="8" width="7" style="79" customWidth="1"/>
    <col min="9" max="9" width="7.5703125" style="79" customWidth="1"/>
    <col min="10" max="10" width="8" style="79" customWidth="1"/>
    <col min="11" max="11" width="8.7109375" style="79" customWidth="1"/>
    <col min="12" max="12" width="10.28515625" style="79" customWidth="1"/>
    <col min="13" max="13" width="10.5703125" style="79" customWidth="1"/>
    <col min="14" max="15" width="10.42578125" style="79" customWidth="1"/>
    <col min="16" max="16384" width="9.140625" style="79"/>
  </cols>
  <sheetData>
    <row r="1" spans="1:15" ht="20.25">
      <c r="A1" s="935" t="s">
        <v>23</v>
      </c>
      <c r="B1" s="935"/>
      <c r="C1" s="935"/>
      <c r="D1" s="935"/>
      <c r="E1" s="935"/>
      <c r="F1" s="935"/>
      <c r="G1" s="935"/>
      <c r="H1" s="935"/>
      <c r="I1" s="935"/>
      <c r="J1" s="935"/>
      <c r="K1" s="935"/>
      <c r="L1" s="935"/>
      <c r="M1" s="935"/>
      <c r="N1" s="935"/>
      <c r="O1" s="935"/>
    </row>
    <row r="2" spans="1:15" ht="20.25">
      <c r="A2" s="935" t="s">
        <v>4</v>
      </c>
      <c r="B2" s="935"/>
      <c r="C2" s="935"/>
      <c r="D2" s="935"/>
      <c r="E2" s="935"/>
      <c r="F2" s="935"/>
      <c r="G2" s="935"/>
      <c r="H2" s="935"/>
      <c r="I2" s="935"/>
      <c r="J2" s="935"/>
      <c r="K2" s="935"/>
      <c r="L2" s="935"/>
      <c r="M2" s="935"/>
      <c r="N2" s="935"/>
      <c r="O2" s="935"/>
    </row>
    <row r="3" spans="1:15" ht="20.25">
      <c r="A3" s="935" t="s">
        <v>1124</v>
      </c>
      <c r="B3" s="935"/>
      <c r="C3" s="935"/>
      <c r="D3" s="935"/>
      <c r="E3" s="935"/>
      <c r="F3" s="935"/>
      <c r="G3" s="935"/>
      <c r="H3" s="935"/>
      <c r="I3" s="935"/>
      <c r="J3" s="935"/>
      <c r="K3" s="935"/>
      <c r="L3" s="935"/>
      <c r="M3" s="935"/>
      <c r="N3" s="935"/>
      <c r="O3" s="935"/>
    </row>
    <row r="4" spans="1:15">
      <c r="A4" s="936" t="s">
        <v>2</v>
      </c>
      <c r="B4" s="936" t="s">
        <v>6</v>
      </c>
      <c r="C4" s="936" t="s">
        <v>450</v>
      </c>
      <c r="D4" s="937" t="s">
        <v>1531</v>
      </c>
      <c r="E4" s="937"/>
      <c r="F4" s="937"/>
      <c r="G4" s="937"/>
      <c r="H4" s="938" t="s">
        <v>16</v>
      </c>
      <c r="I4" s="938"/>
      <c r="J4" s="938"/>
      <c r="K4" s="938"/>
      <c r="L4" s="938"/>
      <c r="M4" s="938"/>
      <c r="N4" s="939" t="s">
        <v>1530</v>
      </c>
      <c r="O4" s="940" t="s">
        <v>451</v>
      </c>
    </row>
    <row r="5" spans="1:15">
      <c r="A5" s="936"/>
      <c r="B5" s="936"/>
      <c r="C5" s="936"/>
      <c r="D5" s="942" t="s">
        <v>452</v>
      </c>
      <c r="E5" s="943" t="s">
        <v>453</v>
      </c>
      <c r="F5" s="939" t="s">
        <v>454</v>
      </c>
      <c r="G5" s="939" t="s">
        <v>146</v>
      </c>
      <c r="H5" s="940" t="s">
        <v>455</v>
      </c>
      <c r="I5" s="940" t="s">
        <v>456</v>
      </c>
      <c r="J5" s="940" t="s">
        <v>20</v>
      </c>
      <c r="K5" s="940"/>
      <c r="L5" s="940" t="s">
        <v>107</v>
      </c>
      <c r="M5" s="940" t="s">
        <v>146</v>
      </c>
      <c r="N5" s="939"/>
      <c r="O5" s="940"/>
    </row>
    <row r="6" spans="1:15">
      <c r="A6" s="936"/>
      <c r="B6" s="936"/>
      <c r="C6" s="936"/>
      <c r="D6" s="942"/>
      <c r="E6" s="943"/>
      <c r="F6" s="939"/>
      <c r="G6" s="939"/>
      <c r="H6" s="940"/>
      <c r="I6" s="940"/>
      <c r="J6" s="83" t="s">
        <v>0</v>
      </c>
      <c r="K6" s="83" t="s">
        <v>1</v>
      </c>
      <c r="L6" s="940"/>
      <c r="M6" s="940"/>
      <c r="N6" s="939"/>
      <c r="O6" s="940"/>
    </row>
    <row r="7" spans="1:15">
      <c r="A7" s="195">
        <v>1</v>
      </c>
      <c r="B7" s="196">
        <v>2</v>
      </c>
      <c r="C7" s="195">
        <v>3</v>
      </c>
      <c r="D7" s="84">
        <v>4</v>
      </c>
      <c r="E7" s="84">
        <v>5</v>
      </c>
      <c r="F7" s="84">
        <v>6</v>
      </c>
      <c r="G7" s="84">
        <v>7</v>
      </c>
      <c r="H7" s="84">
        <v>8</v>
      </c>
      <c r="I7" s="84">
        <v>9</v>
      </c>
      <c r="J7" s="84">
        <v>10</v>
      </c>
      <c r="K7" s="84">
        <v>11</v>
      </c>
      <c r="L7" s="84">
        <v>12</v>
      </c>
      <c r="M7" s="84">
        <v>13</v>
      </c>
      <c r="N7" s="84">
        <v>14</v>
      </c>
      <c r="O7" s="84">
        <v>15</v>
      </c>
    </row>
    <row r="8" spans="1:15" ht="20.25">
      <c r="A8" s="944" t="s">
        <v>1187</v>
      </c>
      <c r="B8" s="944"/>
      <c r="C8" s="944"/>
      <c r="D8" s="944"/>
      <c r="E8" s="944"/>
      <c r="F8" s="944"/>
      <c r="G8" s="944"/>
      <c r="H8" s="944"/>
      <c r="I8" s="944"/>
      <c r="J8" s="944"/>
      <c r="K8" s="944"/>
      <c r="L8" s="944"/>
      <c r="M8" s="944"/>
      <c r="N8" s="944"/>
      <c r="O8" s="944"/>
    </row>
    <row r="9" spans="1:15" ht="18">
      <c r="A9" s="151" t="s">
        <v>1537</v>
      </c>
      <c r="B9" s="152"/>
      <c r="C9" s="153"/>
      <c r="D9" s="154"/>
      <c r="E9" s="154"/>
      <c r="F9" s="154"/>
      <c r="G9" s="154"/>
      <c r="H9" s="155"/>
      <c r="I9" s="155"/>
      <c r="J9" s="155"/>
      <c r="K9" s="155"/>
      <c r="L9" s="155"/>
      <c r="M9" s="155"/>
      <c r="N9" s="156"/>
      <c r="O9" s="156"/>
    </row>
    <row r="10" spans="1:15" ht="36" customHeight="1">
      <c r="A10" s="86">
        <v>1</v>
      </c>
      <c r="B10" s="183" t="s">
        <v>300</v>
      </c>
      <c r="C10" s="87" t="s">
        <v>904</v>
      </c>
      <c r="D10" s="89">
        <v>5</v>
      </c>
      <c r="E10" s="89">
        <v>125</v>
      </c>
      <c r="F10" s="88">
        <v>1</v>
      </c>
      <c r="G10" s="89">
        <v>125</v>
      </c>
      <c r="H10" s="89">
        <v>4</v>
      </c>
      <c r="I10" s="88">
        <v>1</v>
      </c>
      <c r="J10" s="302">
        <v>101</v>
      </c>
      <c r="K10" s="302">
        <v>4</v>
      </c>
      <c r="L10" s="89">
        <f>J10+K10</f>
        <v>105</v>
      </c>
      <c r="M10" s="88">
        <f>L10*F10</f>
        <v>105</v>
      </c>
      <c r="N10" s="176">
        <v>3.11</v>
      </c>
      <c r="O10" s="176">
        <f>(65460+81460+79465+78351)/100000</f>
        <v>3.0473599999999998</v>
      </c>
    </row>
    <row r="11" spans="1:15">
      <c r="A11" s="86">
        <f>A10+1</f>
        <v>2</v>
      </c>
      <c r="B11" s="183" t="s">
        <v>10</v>
      </c>
      <c r="C11" s="87" t="s">
        <v>905</v>
      </c>
      <c r="D11" s="89">
        <v>2</v>
      </c>
      <c r="E11" s="89">
        <v>50</v>
      </c>
      <c r="F11" s="89">
        <v>5</v>
      </c>
      <c r="G11" s="89">
        <v>250</v>
      </c>
      <c r="H11" s="89">
        <v>3</v>
      </c>
      <c r="I11" s="89">
        <v>5</v>
      </c>
      <c r="J11" s="302">
        <f>26+26+26</f>
        <v>78</v>
      </c>
      <c r="K11" s="302">
        <v>5</v>
      </c>
      <c r="L11" s="89">
        <f t="shared" ref="L11:L19" si="0">J11+K11</f>
        <v>83</v>
      </c>
      <c r="M11" s="88">
        <f>L11*F11</f>
        <v>415</v>
      </c>
      <c r="N11" s="327">
        <v>8.85</v>
      </c>
      <c r="O11" s="176">
        <f>(296413+287647+299373)/100000</f>
        <v>8.8343299999999996</v>
      </c>
    </row>
    <row r="12" spans="1:15" ht="14.25">
      <c r="A12" s="86">
        <f t="shared" ref="A12:A19" si="1">A11+1</f>
        <v>3</v>
      </c>
      <c r="B12" s="183" t="s">
        <v>214</v>
      </c>
      <c r="C12" s="87" t="s">
        <v>906</v>
      </c>
      <c r="D12" s="89">
        <v>1</v>
      </c>
      <c r="E12" s="89">
        <v>25</v>
      </c>
      <c r="F12" s="90">
        <v>4</v>
      </c>
      <c r="G12" s="89">
        <v>250</v>
      </c>
      <c r="H12" s="89">
        <v>1</v>
      </c>
      <c r="I12" s="90">
        <v>4</v>
      </c>
      <c r="J12" s="302">
        <v>26</v>
      </c>
      <c r="K12" s="302">
        <v>0</v>
      </c>
      <c r="L12" s="89">
        <f t="shared" si="0"/>
        <v>26</v>
      </c>
      <c r="M12" s="88">
        <f>L12*4</f>
        <v>104</v>
      </c>
      <c r="N12" s="327">
        <v>2.98</v>
      </c>
      <c r="O12" s="176">
        <f>(298148)/100000</f>
        <v>2.9814799999999999</v>
      </c>
    </row>
    <row r="13" spans="1:15" ht="25.5">
      <c r="A13" s="86">
        <f t="shared" si="1"/>
        <v>4</v>
      </c>
      <c r="B13" s="183" t="s">
        <v>19</v>
      </c>
      <c r="C13" s="91" t="s">
        <v>907</v>
      </c>
      <c r="D13" s="89">
        <v>2</v>
      </c>
      <c r="E13" s="89">
        <v>50</v>
      </c>
      <c r="F13" s="92">
        <v>3</v>
      </c>
      <c r="G13" s="89">
        <v>150</v>
      </c>
      <c r="H13" s="89">
        <v>2</v>
      </c>
      <c r="I13" s="92">
        <v>3</v>
      </c>
      <c r="J13" s="302">
        <v>37</v>
      </c>
      <c r="K13" s="302">
        <v>0</v>
      </c>
      <c r="L13" s="89">
        <f t="shared" si="0"/>
        <v>37</v>
      </c>
      <c r="M13" s="88">
        <f t="shared" ref="M13:M19" si="2">L13*F13</f>
        <v>111</v>
      </c>
      <c r="N13" s="177">
        <v>3.29</v>
      </c>
      <c r="O13" s="177">
        <f>1.64+1.64</f>
        <v>3.28</v>
      </c>
    </row>
    <row r="14" spans="1:15" ht="25.5">
      <c r="A14" s="86">
        <f t="shared" si="1"/>
        <v>5</v>
      </c>
      <c r="B14" s="184" t="s">
        <v>15</v>
      </c>
      <c r="C14" s="93" t="s">
        <v>908</v>
      </c>
      <c r="D14" s="89">
        <v>2</v>
      </c>
      <c r="E14" s="89">
        <v>40</v>
      </c>
      <c r="F14" s="92">
        <v>5</v>
      </c>
      <c r="G14" s="89">
        <v>200</v>
      </c>
      <c r="H14" s="89">
        <v>2</v>
      </c>
      <c r="I14" s="92">
        <v>5</v>
      </c>
      <c r="J14" s="302">
        <f>20+19</f>
        <v>39</v>
      </c>
      <c r="K14" s="302">
        <v>7</v>
      </c>
      <c r="L14" s="89">
        <f t="shared" si="0"/>
        <v>46</v>
      </c>
      <c r="M14" s="88">
        <f t="shared" si="2"/>
        <v>230</v>
      </c>
      <c r="N14" s="177">
        <v>4.8</v>
      </c>
      <c r="O14" s="178">
        <f>2.24+2.2</f>
        <v>4.4400000000000004</v>
      </c>
    </row>
    <row r="15" spans="1:15" ht="25.5">
      <c r="A15" s="86">
        <f t="shared" si="1"/>
        <v>6</v>
      </c>
      <c r="B15" s="183" t="s">
        <v>436</v>
      </c>
      <c r="C15" s="93" t="s">
        <v>909</v>
      </c>
      <c r="D15" s="89">
        <v>2</v>
      </c>
      <c r="E15" s="89">
        <v>40</v>
      </c>
      <c r="F15" s="92">
        <v>5</v>
      </c>
      <c r="G15" s="89">
        <v>200</v>
      </c>
      <c r="H15" s="89">
        <v>2</v>
      </c>
      <c r="I15" s="92">
        <v>5</v>
      </c>
      <c r="J15" s="302">
        <v>48</v>
      </c>
      <c r="K15" s="302">
        <v>2</v>
      </c>
      <c r="L15" s="89">
        <f t="shared" si="0"/>
        <v>50</v>
      </c>
      <c r="M15" s="88">
        <f t="shared" si="2"/>
        <v>250</v>
      </c>
      <c r="N15" s="177">
        <v>5.0999999999999996</v>
      </c>
      <c r="O15" s="176">
        <f>(246357+251064)/100000</f>
        <v>4.9742100000000002</v>
      </c>
    </row>
    <row r="16" spans="1:15" ht="25.5">
      <c r="A16" s="86">
        <f t="shared" si="1"/>
        <v>7</v>
      </c>
      <c r="B16" s="184" t="s">
        <v>934</v>
      </c>
      <c r="C16" s="95" t="s">
        <v>910</v>
      </c>
      <c r="D16" s="89">
        <v>1</v>
      </c>
      <c r="E16" s="89">
        <v>20</v>
      </c>
      <c r="F16" s="88">
        <v>5</v>
      </c>
      <c r="G16" s="89">
        <v>100</v>
      </c>
      <c r="H16" s="89">
        <v>1</v>
      </c>
      <c r="I16" s="88">
        <v>5</v>
      </c>
      <c r="J16" s="302">
        <v>20</v>
      </c>
      <c r="K16" s="302">
        <v>0</v>
      </c>
      <c r="L16" s="89">
        <f t="shared" si="0"/>
        <v>20</v>
      </c>
      <c r="M16" s="88">
        <f t="shared" si="2"/>
        <v>100</v>
      </c>
      <c r="N16" s="177">
        <v>2.08</v>
      </c>
      <c r="O16" s="102">
        <v>2.0699999999999998</v>
      </c>
    </row>
    <row r="17" spans="1:15" ht="25.5">
      <c r="A17" s="86">
        <f t="shared" si="1"/>
        <v>8</v>
      </c>
      <c r="B17" s="185" t="s">
        <v>935</v>
      </c>
      <c r="C17" s="93" t="s">
        <v>911</v>
      </c>
      <c r="D17" s="89">
        <v>1</v>
      </c>
      <c r="E17" s="89">
        <v>30</v>
      </c>
      <c r="F17" s="92">
        <v>5</v>
      </c>
      <c r="G17" s="89">
        <v>150</v>
      </c>
      <c r="H17" s="89">
        <v>1</v>
      </c>
      <c r="I17" s="92">
        <v>5</v>
      </c>
      <c r="J17" s="302">
        <v>27</v>
      </c>
      <c r="K17" s="302">
        <v>0</v>
      </c>
      <c r="L17" s="89">
        <f t="shared" si="0"/>
        <v>27</v>
      </c>
      <c r="M17" s="88">
        <f t="shared" si="2"/>
        <v>135</v>
      </c>
      <c r="N17" s="779">
        <v>2.98</v>
      </c>
      <c r="O17" s="779">
        <v>2.4500000000000002</v>
      </c>
    </row>
    <row r="18" spans="1:15" ht="15">
      <c r="A18" s="86">
        <f t="shared" si="1"/>
        <v>9</v>
      </c>
      <c r="B18" s="185" t="s">
        <v>1527</v>
      </c>
      <c r="C18" s="93" t="s">
        <v>1528</v>
      </c>
      <c r="D18" s="89">
        <v>1</v>
      </c>
      <c r="E18" s="89">
        <v>30</v>
      </c>
      <c r="F18" s="92">
        <v>2</v>
      </c>
      <c r="G18" s="89">
        <v>60</v>
      </c>
      <c r="H18" s="89">
        <v>1</v>
      </c>
      <c r="I18" s="92">
        <v>2</v>
      </c>
      <c r="J18" s="302">
        <v>30</v>
      </c>
      <c r="K18" s="302">
        <v>0</v>
      </c>
      <c r="L18" s="89">
        <f t="shared" si="0"/>
        <v>30</v>
      </c>
      <c r="M18" s="778">
        <f t="shared" si="2"/>
        <v>60</v>
      </c>
      <c r="N18" s="781">
        <v>1.63</v>
      </c>
      <c r="O18" s="782">
        <v>1.53</v>
      </c>
    </row>
    <row r="19" spans="1:15" ht="25.5">
      <c r="A19" s="86">
        <f t="shared" si="1"/>
        <v>10</v>
      </c>
      <c r="B19" s="186" t="s">
        <v>877</v>
      </c>
      <c r="C19" s="91" t="s">
        <v>912</v>
      </c>
      <c r="D19" s="89">
        <v>2</v>
      </c>
      <c r="E19" s="89">
        <v>60</v>
      </c>
      <c r="F19" s="92">
        <v>5</v>
      </c>
      <c r="G19" s="89">
        <v>300</v>
      </c>
      <c r="H19" s="89">
        <v>2</v>
      </c>
      <c r="I19" s="92">
        <v>5</v>
      </c>
      <c r="J19" s="302">
        <v>58</v>
      </c>
      <c r="K19" s="302">
        <v>1</v>
      </c>
      <c r="L19" s="89">
        <f t="shared" si="0"/>
        <v>59</v>
      </c>
      <c r="M19" s="88">
        <f t="shared" si="2"/>
        <v>295</v>
      </c>
      <c r="N19" s="780">
        <v>7.01</v>
      </c>
      <c r="O19" s="780">
        <v>6.39</v>
      </c>
    </row>
    <row r="20" spans="1:15" s="80" customFormat="1" ht="18.75" customHeight="1">
      <c r="A20" s="582"/>
      <c r="B20" s="941" t="s">
        <v>915</v>
      </c>
      <c r="C20" s="941"/>
      <c r="D20" s="582">
        <f>SUM(D10:D19)</f>
        <v>19</v>
      </c>
      <c r="E20" s="582">
        <f>SUM(E10:E19)</f>
        <v>470</v>
      </c>
      <c r="F20" s="582"/>
      <c r="G20" s="582">
        <f t="shared" ref="G20:O20" si="3">SUM(G10:G19)</f>
        <v>1785</v>
      </c>
      <c r="H20" s="582">
        <f>SUM(H10:H19)</f>
        <v>19</v>
      </c>
      <c r="I20" s="582"/>
      <c r="J20" s="582">
        <f t="shared" si="3"/>
        <v>464</v>
      </c>
      <c r="K20" s="582">
        <f t="shared" si="3"/>
        <v>19</v>
      </c>
      <c r="L20" s="582">
        <f t="shared" si="3"/>
        <v>483</v>
      </c>
      <c r="M20" s="582">
        <f t="shared" si="3"/>
        <v>1805</v>
      </c>
      <c r="N20" s="583">
        <f t="shared" si="3"/>
        <v>41.83</v>
      </c>
      <c r="O20" s="584">
        <f t="shared" si="3"/>
        <v>39.99738</v>
      </c>
    </row>
    <row r="21" spans="1:15" ht="18">
      <c r="A21" s="151" t="s">
        <v>1538</v>
      </c>
      <c r="B21" s="152"/>
      <c r="C21" s="153"/>
      <c r="D21" s="154"/>
      <c r="E21" s="154"/>
      <c r="F21" s="154"/>
      <c r="G21" s="154"/>
      <c r="H21" s="155"/>
      <c r="I21" s="155"/>
      <c r="J21" s="155"/>
      <c r="K21" s="155"/>
      <c r="L21" s="155"/>
      <c r="M21" s="155"/>
      <c r="N21" s="156"/>
      <c r="O21" s="156"/>
    </row>
    <row r="22" spans="1:15" ht="25.5">
      <c r="A22" s="86">
        <v>1</v>
      </c>
      <c r="B22" s="187" t="s">
        <v>316</v>
      </c>
      <c r="C22" s="97" t="s">
        <v>913</v>
      </c>
      <c r="D22" s="89">
        <v>21</v>
      </c>
      <c r="E22" s="89">
        <v>420</v>
      </c>
      <c r="F22" s="92">
        <v>1</v>
      </c>
      <c r="G22" s="89">
        <f t="shared" ref="G22:G25" si="4">E22*F22</f>
        <v>420</v>
      </c>
      <c r="H22" s="89">
        <v>24</v>
      </c>
      <c r="I22" s="92">
        <v>1</v>
      </c>
      <c r="J22" s="85">
        <v>572</v>
      </c>
      <c r="K22" s="85">
        <v>0</v>
      </c>
      <c r="L22" s="89">
        <f>J22+K22</f>
        <v>572</v>
      </c>
      <c r="M22" s="88">
        <f>L22*I22</f>
        <v>572</v>
      </c>
      <c r="N22" s="177">
        <v>10.23</v>
      </c>
      <c r="O22" s="177">
        <v>9.4700000000000006</v>
      </c>
    </row>
    <row r="23" spans="1:15" ht="25.5">
      <c r="A23" s="86">
        <f>A22+1</f>
        <v>2</v>
      </c>
      <c r="B23" s="301" t="s">
        <v>204</v>
      </c>
      <c r="C23" s="91" t="s">
        <v>914</v>
      </c>
      <c r="D23" s="89">
        <v>5</v>
      </c>
      <c r="E23" s="89">
        <v>150</v>
      </c>
      <c r="F23" s="92">
        <v>5</v>
      </c>
      <c r="G23" s="89">
        <f t="shared" si="4"/>
        <v>750</v>
      </c>
      <c r="H23" s="89">
        <v>8</v>
      </c>
      <c r="I23" s="92">
        <v>5</v>
      </c>
      <c r="J23" s="302">
        <v>220</v>
      </c>
      <c r="K23" s="302">
        <v>0</v>
      </c>
      <c r="L23" s="89">
        <f t="shared" ref="L23:L26" si="5">J23+K23</f>
        <v>220</v>
      </c>
      <c r="M23" s="88">
        <f t="shared" ref="M23:M26" si="6">L23*I23</f>
        <v>1100</v>
      </c>
      <c r="N23" s="176">
        <v>15.73</v>
      </c>
      <c r="O23" s="176">
        <v>15.3</v>
      </c>
    </row>
    <row r="24" spans="1:15" ht="25.5">
      <c r="A24" s="86">
        <f t="shared" ref="A24:A26" si="7">A23+1</f>
        <v>3</v>
      </c>
      <c r="B24" s="301" t="s">
        <v>15</v>
      </c>
      <c r="C24" s="93" t="s">
        <v>908</v>
      </c>
      <c r="D24" s="89">
        <v>3</v>
      </c>
      <c r="E24" s="89">
        <v>75</v>
      </c>
      <c r="F24" s="94">
        <v>5</v>
      </c>
      <c r="G24" s="89">
        <f t="shared" si="4"/>
        <v>375</v>
      </c>
      <c r="H24" s="89">
        <v>3</v>
      </c>
      <c r="I24" s="94">
        <v>5</v>
      </c>
      <c r="J24" s="302">
        <v>69</v>
      </c>
      <c r="K24" s="302">
        <v>4</v>
      </c>
      <c r="L24" s="89">
        <f t="shared" si="5"/>
        <v>73</v>
      </c>
      <c r="M24" s="88">
        <f t="shared" si="6"/>
        <v>365</v>
      </c>
      <c r="N24" s="176">
        <v>6.88</v>
      </c>
      <c r="O24" s="176">
        <v>6.86</v>
      </c>
    </row>
    <row r="25" spans="1:15" ht="25.5">
      <c r="A25" s="86">
        <f t="shared" si="7"/>
        <v>4</v>
      </c>
      <c r="B25" s="301" t="s">
        <v>205</v>
      </c>
      <c r="C25" s="93" t="s">
        <v>314</v>
      </c>
      <c r="D25" s="89">
        <v>11</v>
      </c>
      <c r="E25" s="745">
        <f>11*25</f>
        <v>275</v>
      </c>
      <c r="F25" s="89">
        <v>5</v>
      </c>
      <c r="G25" s="89">
        <f t="shared" si="4"/>
        <v>1375</v>
      </c>
      <c r="H25" s="89">
        <v>11</v>
      </c>
      <c r="I25" s="94">
        <v>5</v>
      </c>
      <c r="J25" s="302">
        <v>266</v>
      </c>
      <c r="K25" s="302">
        <v>9</v>
      </c>
      <c r="L25" s="89">
        <f t="shared" si="5"/>
        <v>275</v>
      </c>
      <c r="M25" s="88">
        <f t="shared" si="6"/>
        <v>1375</v>
      </c>
      <c r="N25" s="176">
        <v>22.78</v>
      </c>
      <c r="O25" s="176">
        <v>22.28</v>
      </c>
    </row>
    <row r="26" spans="1:15" ht="25.5">
      <c r="A26" s="86">
        <f t="shared" si="7"/>
        <v>5</v>
      </c>
      <c r="B26" s="301" t="s">
        <v>443</v>
      </c>
      <c r="C26" s="93" t="s">
        <v>1209</v>
      </c>
      <c r="D26" s="89">
        <v>16</v>
      </c>
      <c r="E26" s="745">
        <f>16*25</f>
        <v>400</v>
      </c>
      <c r="F26" s="89">
        <v>5</v>
      </c>
      <c r="G26" s="89">
        <f>E26*F26</f>
        <v>2000</v>
      </c>
      <c r="H26" s="89">
        <v>16</v>
      </c>
      <c r="I26" s="94">
        <v>5</v>
      </c>
      <c r="J26" s="302">
        <v>400</v>
      </c>
      <c r="K26" s="302">
        <v>1</v>
      </c>
      <c r="L26" s="89">
        <f t="shared" si="5"/>
        <v>401</v>
      </c>
      <c r="M26" s="88">
        <f t="shared" si="6"/>
        <v>2005</v>
      </c>
      <c r="N26" s="176">
        <v>30.31</v>
      </c>
      <c r="O26" s="176">
        <v>30.3</v>
      </c>
    </row>
    <row r="27" spans="1:15" s="80" customFormat="1" ht="12.75" customHeight="1">
      <c r="A27" s="582"/>
      <c r="B27" s="941" t="s">
        <v>916</v>
      </c>
      <c r="C27" s="941"/>
      <c r="D27" s="582">
        <f>SUM(D22:D26)</f>
        <v>56</v>
      </c>
      <c r="E27" s="582">
        <f>SUM(E22:E26)</f>
        <v>1320</v>
      </c>
      <c r="F27" s="582"/>
      <c r="G27" s="582">
        <f>SUM(G22:G26)</f>
        <v>4920</v>
      </c>
      <c r="H27" s="582">
        <f>SUM(H22:H26)</f>
        <v>62</v>
      </c>
      <c r="I27" s="582"/>
      <c r="J27" s="582">
        <f t="shared" ref="J27:O27" si="8">SUM(J22:J26)</f>
        <v>1527</v>
      </c>
      <c r="K27" s="582">
        <f t="shared" si="8"/>
        <v>14</v>
      </c>
      <c r="L27" s="582">
        <f t="shared" si="8"/>
        <v>1541</v>
      </c>
      <c r="M27" s="582">
        <f t="shared" si="8"/>
        <v>5417</v>
      </c>
      <c r="N27" s="583">
        <f t="shared" si="8"/>
        <v>85.93</v>
      </c>
      <c r="O27" s="584">
        <f t="shared" si="8"/>
        <v>84.210000000000008</v>
      </c>
    </row>
    <row r="28" spans="1:15" s="80" customFormat="1" ht="12.75" customHeight="1">
      <c r="A28" s="582"/>
      <c r="B28" s="941" t="s">
        <v>457</v>
      </c>
      <c r="C28" s="941"/>
      <c r="D28" s="582">
        <f t="shared" ref="D28:O28" si="9">D20+D27</f>
        <v>75</v>
      </c>
      <c r="E28" s="582">
        <f t="shared" si="9"/>
        <v>1790</v>
      </c>
      <c r="F28" s="582"/>
      <c r="G28" s="582">
        <f t="shared" si="9"/>
        <v>6705</v>
      </c>
      <c r="H28" s="582">
        <f t="shared" si="9"/>
        <v>81</v>
      </c>
      <c r="I28" s="582"/>
      <c r="J28" s="582">
        <f t="shared" si="9"/>
        <v>1991</v>
      </c>
      <c r="K28" s="582">
        <f t="shared" si="9"/>
        <v>33</v>
      </c>
      <c r="L28" s="582">
        <f t="shared" si="9"/>
        <v>2024</v>
      </c>
      <c r="M28" s="582">
        <f t="shared" si="9"/>
        <v>7222</v>
      </c>
      <c r="N28" s="583">
        <f t="shared" si="9"/>
        <v>127.76</v>
      </c>
      <c r="O28" s="584">
        <f t="shared" si="9"/>
        <v>124.20738</v>
      </c>
    </row>
    <row r="29" spans="1:15" ht="18">
      <c r="A29" s="151" t="s">
        <v>1539</v>
      </c>
      <c r="B29" s="152"/>
      <c r="C29" s="153"/>
      <c r="D29" s="154"/>
      <c r="E29" s="154"/>
      <c r="F29" s="154"/>
      <c r="G29" s="154"/>
      <c r="H29" s="155"/>
      <c r="I29" s="155"/>
      <c r="J29" s="155"/>
      <c r="K29" s="155"/>
      <c r="L29" s="155"/>
      <c r="M29" s="155"/>
      <c r="N29" s="156"/>
      <c r="O29" s="156"/>
    </row>
    <row r="30" spans="1:15" ht="25.5">
      <c r="A30" s="210">
        <v>1</v>
      </c>
      <c r="B30" s="744" t="s">
        <v>316</v>
      </c>
      <c r="C30" s="100" t="s">
        <v>917</v>
      </c>
      <c r="D30" s="101">
        <v>14</v>
      </c>
      <c r="E30" s="101">
        <f>D30*F30</f>
        <v>14</v>
      </c>
      <c r="F30" s="101">
        <v>1</v>
      </c>
      <c r="G30" s="101">
        <v>350</v>
      </c>
      <c r="H30" s="89">
        <v>17</v>
      </c>
      <c r="I30" s="101">
        <v>1</v>
      </c>
      <c r="J30" s="302">
        <v>455</v>
      </c>
      <c r="K30" s="302">
        <v>0</v>
      </c>
      <c r="L30" s="89">
        <f>J30+K30</f>
        <v>455</v>
      </c>
      <c r="M30" s="89">
        <f>L30*I30</f>
        <v>455</v>
      </c>
      <c r="N30" s="746">
        <v>7.51</v>
      </c>
      <c r="O30" s="747">
        <v>6.97</v>
      </c>
    </row>
    <row r="31" spans="1:15" ht="25.5">
      <c r="A31" s="210">
        <f>1+A30</f>
        <v>2</v>
      </c>
      <c r="B31" s="744" t="s">
        <v>936</v>
      </c>
      <c r="C31" s="103" t="s">
        <v>918</v>
      </c>
      <c r="D31" s="104">
        <v>13</v>
      </c>
      <c r="E31" s="104">
        <f>D31*F31</f>
        <v>390</v>
      </c>
      <c r="F31" s="104">
        <v>30</v>
      </c>
      <c r="G31" s="104">
        <v>14700</v>
      </c>
      <c r="H31" s="89">
        <v>12</v>
      </c>
      <c r="I31" s="104">
        <v>30</v>
      </c>
      <c r="J31" s="302">
        <v>401</v>
      </c>
      <c r="K31" s="302">
        <v>16</v>
      </c>
      <c r="L31" s="89">
        <f>J31+K31</f>
        <v>417</v>
      </c>
      <c r="M31" s="89">
        <f>L31*I31</f>
        <v>12510</v>
      </c>
      <c r="N31" s="748">
        <f>12*18.5</f>
        <v>222</v>
      </c>
      <c r="O31" s="747">
        <f>12*18.5-2.18</f>
        <v>219.82</v>
      </c>
    </row>
    <row r="32" spans="1:15">
      <c r="A32" s="210">
        <f t="shared" ref="A32:A37" si="10">1+A31</f>
        <v>3</v>
      </c>
      <c r="B32" s="744" t="s">
        <v>204</v>
      </c>
      <c r="C32" s="103" t="s">
        <v>919</v>
      </c>
      <c r="D32" s="104">
        <v>14</v>
      </c>
      <c r="E32" s="104">
        <f>D32*F32</f>
        <v>70</v>
      </c>
      <c r="F32" s="104">
        <v>5</v>
      </c>
      <c r="G32" s="104">
        <v>625</v>
      </c>
      <c r="H32" s="89">
        <v>7</v>
      </c>
      <c r="I32" s="104">
        <v>5</v>
      </c>
      <c r="J32" s="302">
        <v>210</v>
      </c>
      <c r="K32" s="302">
        <v>0</v>
      </c>
      <c r="L32" s="89">
        <f t="shared" ref="L32:L37" si="11">J32+K32</f>
        <v>210</v>
      </c>
      <c r="M32" s="89">
        <f t="shared" ref="M32:M37" si="12">L32*I32</f>
        <v>1050</v>
      </c>
      <c r="N32" s="748">
        <v>14.58</v>
      </c>
      <c r="O32" s="747">
        <v>14.4</v>
      </c>
    </row>
    <row r="33" spans="1:15" ht="25.5">
      <c r="A33" s="210">
        <f t="shared" si="10"/>
        <v>4</v>
      </c>
      <c r="B33" s="744"/>
      <c r="C33" s="103" t="s">
        <v>1209</v>
      </c>
      <c r="D33" s="104">
        <v>14</v>
      </c>
      <c r="E33" s="104">
        <f>D33*F33</f>
        <v>70</v>
      </c>
      <c r="F33" s="104">
        <v>5</v>
      </c>
      <c r="G33" s="104">
        <v>625</v>
      </c>
      <c r="H33" s="89">
        <v>5</v>
      </c>
      <c r="I33" s="104">
        <v>5</v>
      </c>
      <c r="J33" s="302">
        <v>149</v>
      </c>
      <c r="K33" s="302">
        <v>0</v>
      </c>
      <c r="L33" s="89">
        <f t="shared" si="11"/>
        <v>149</v>
      </c>
      <c r="M33" s="89">
        <f t="shared" si="12"/>
        <v>745</v>
      </c>
      <c r="N33" s="748">
        <v>11.5</v>
      </c>
      <c r="O33" s="747">
        <v>11.36</v>
      </c>
    </row>
    <row r="34" spans="1:15" ht="25.5">
      <c r="A34" s="210">
        <f t="shared" si="10"/>
        <v>5</v>
      </c>
      <c r="B34" s="744" t="s">
        <v>205</v>
      </c>
      <c r="C34" s="103" t="s">
        <v>314</v>
      </c>
      <c r="D34" s="104">
        <v>14</v>
      </c>
      <c r="E34" s="104">
        <f>D34*F34</f>
        <v>70</v>
      </c>
      <c r="F34" s="104">
        <v>5</v>
      </c>
      <c r="G34" s="104">
        <v>625</v>
      </c>
      <c r="H34" s="89">
        <v>2</v>
      </c>
      <c r="I34" s="104">
        <v>5</v>
      </c>
      <c r="J34" s="302">
        <v>173</v>
      </c>
      <c r="K34" s="302">
        <v>1</v>
      </c>
      <c r="L34" s="89">
        <f t="shared" si="11"/>
        <v>174</v>
      </c>
      <c r="M34" s="89">
        <f t="shared" si="12"/>
        <v>870</v>
      </c>
      <c r="N34" s="748">
        <v>13.68</v>
      </c>
      <c r="O34" s="747">
        <v>13.5</v>
      </c>
    </row>
    <row r="35" spans="1:15" ht="25.5">
      <c r="A35" s="210">
        <f t="shared" si="10"/>
        <v>6</v>
      </c>
      <c r="B35" s="744" t="s">
        <v>206</v>
      </c>
      <c r="C35" s="103" t="s">
        <v>1515</v>
      </c>
      <c r="D35" s="104"/>
      <c r="E35" s="104"/>
      <c r="F35" s="104"/>
      <c r="G35" s="104"/>
      <c r="H35" s="89">
        <v>8</v>
      </c>
      <c r="I35" s="104">
        <v>5</v>
      </c>
      <c r="J35" s="302">
        <v>190</v>
      </c>
      <c r="K35" s="302">
        <v>0</v>
      </c>
      <c r="L35" s="89">
        <f t="shared" si="11"/>
        <v>190</v>
      </c>
      <c r="M35" s="89">
        <f t="shared" si="12"/>
        <v>950</v>
      </c>
      <c r="N35" s="748">
        <v>16.23</v>
      </c>
      <c r="O35" s="747">
        <v>16.059999999999999</v>
      </c>
    </row>
    <row r="36" spans="1:15">
      <c r="A36" s="210">
        <f t="shared" si="10"/>
        <v>7</v>
      </c>
      <c r="B36" s="744" t="s">
        <v>937</v>
      </c>
      <c r="C36" s="96" t="s">
        <v>231</v>
      </c>
      <c r="D36" s="86">
        <v>20</v>
      </c>
      <c r="E36" s="86">
        <v>1250</v>
      </c>
      <c r="F36" s="86">
        <v>3</v>
      </c>
      <c r="G36" s="86">
        <v>3750</v>
      </c>
      <c r="H36" s="86">
        <v>17</v>
      </c>
      <c r="I36" s="86">
        <v>4</v>
      </c>
      <c r="J36" s="302">
        <v>261</v>
      </c>
      <c r="K36" s="302">
        <v>16</v>
      </c>
      <c r="L36" s="89">
        <f t="shared" si="11"/>
        <v>277</v>
      </c>
      <c r="M36" s="89">
        <v>1028</v>
      </c>
      <c r="N36" s="749">
        <v>33.520000000000003</v>
      </c>
      <c r="O36" s="747">
        <v>31.08</v>
      </c>
    </row>
    <row r="37" spans="1:15">
      <c r="A37" s="210">
        <f t="shared" si="10"/>
        <v>8</v>
      </c>
      <c r="B37" s="744" t="s">
        <v>446</v>
      </c>
      <c r="C37" s="105" t="s">
        <v>920</v>
      </c>
      <c r="D37" s="89">
        <f>20+20</f>
        <v>40</v>
      </c>
      <c r="E37" s="89">
        <f>D37*16</f>
        <v>640</v>
      </c>
      <c r="F37" s="94">
        <v>2</v>
      </c>
      <c r="G37" s="89">
        <f>E37*F37</f>
        <v>1280</v>
      </c>
      <c r="H37" s="89">
        <v>46</v>
      </c>
      <c r="I37" s="94">
        <v>2</v>
      </c>
      <c r="J37" s="302">
        <v>709</v>
      </c>
      <c r="K37" s="302">
        <v>25</v>
      </c>
      <c r="L37" s="89">
        <f t="shared" si="11"/>
        <v>734</v>
      </c>
      <c r="M37" s="89">
        <f t="shared" si="12"/>
        <v>1468</v>
      </c>
      <c r="N37" s="273">
        <v>63.58</v>
      </c>
      <c r="O37" s="747">
        <v>57.17</v>
      </c>
    </row>
    <row r="38" spans="1:15" s="80" customFormat="1">
      <c r="A38" s="582"/>
      <c r="B38" s="941"/>
      <c r="C38" s="941"/>
      <c r="D38" s="582">
        <f>SUM(D30:D37)</f>
        <v>129</v>
      </c>
      <c r="E38" s="582">
        <f t="shared" ref="E38:O38" si="13">SUM(E30:E37)</f>
        <v>2504</v>
      </c>
      <c r="F38" s="582">
        <f t="shared" si="13"/>
        <v>51</v>
      </c>
      <c r="G38" s="582">
        <f t="shared" si="13"/>
        <v>21955</v>
      </c>
      <c r="H38" s="582">
        <f t="shared" si="13"/>
        <v>114</v>
      </c>
      <c r="I38" s="582">
        <f t="shared" si="13"/>
        <v>57</v>
      </c>
      <c r="J38" s="582">
        <f t="shared" si="13"/>
        <v>2548</v>
      </c>
      <c r="K38" s="582">
        <f t="shared" si="13"/>
        <v>58</v>
      </c>
      <c r="L38" s="582">
        <f t="shared" si="13"/>
        <v>2606</v>
      </c>
      <c r="M38" s="582">
        <f t="shared" si="13"/>
        <v>19076</v>
      </c>
      <c r="N38" s="583">
        <f t="shared" si="13"/>
        <v>382.59999999999997</v>
      </c>
      <c r="O38" s="583">
        <f t="shared" si="13"/>
        <v>370.36</v>
      </c>
    </row>
    <row r="39" spans="1:15" ht="20.25">
      <c r="A39" s="944" t="s">
        <v>458</v>
      </c>
      <c r="B39" s="944"/>
      <c r="C39" s="944"/>
      <c r="D39" s="944"/>
      <c r="E39" s="944"/>
      <c r="F39" s="944"/>
      <c r="G39" s="944"/>
      <c r="H39" s="944"/>
      <c r="I39" s="944"/>
      <c r="J39" s="944"/>
      <c r="K39" s="944"/>
      <c r="L39" s="944"/>
      <c r="M39" s="944"/>
      <c r="N39" s="944"/>
      <c r="O39" s="944"/>
    </row>
    <row r="40" spans="1:15" ht="18">
      <c r="A40" s="151" t="s">
        <v>1540</v>
      </c>
      <c r="B40" s="152"/>
      <c r="C40" s="153"/>
      <c r="D40" s="154"/>
      <c r="E40" s="154"/>
      <c r="F40" s="154"/>
      <c r="G40" s="154"/>
      <c r="H40" s="155"/>
      <c r="I40" s="155"/>
      <c r="J40" s="155"/>
      <c r="K40" s="155"/>
      <c r="L40" s="155"/>
      <c r="M40" s="155"/>
      <c r="N40" s="156"/>
      <c r="O40" s="156"/>
    </row>
    <row r="41" spans="1:15" ht="38.25">
      <c r="A41" s="210">
        <v>1</v>
      </c>
      <c r="B41" s="99"/>
      <c r="C41" s="87" t="s">
        <v>1514</v>
      </c>
      <c r="D41" s="89">
        <v>4</v>
      </c>
      <c r="E41" s="89">
        <v>80</v>
      </c>
      <c r="F41" s="89">
        <v>3</v>
      </c>
      <c r="G41" s="89">
        <v>160</v>
      </c>
      <c r="H41" s="89">
        <v>3</v>
      </c>
      <c r="I41" s="89">
        <v>3</v>
      </c>
      <c r="J41" s="302">
        <v>62</v>
      </c>
      <c r="K41" s="302">
        <v>0</v>
      </c>
      <c r="L41" s="94">
        <f>22+22+18</f>
        <v>62</v>
      </c>
      <c r="M41" s="89">
        <f>66+66+54</f>
        <v>186</v>
      </c>
      <c r="N41" s="176">
        <v>5.72</v>
      </c>
      <c r="O41" s="271">
        <v>5.0999999999999996</v>
      </c>
    </row>
    <row r="42" spans="1:15" ht="38.25">
      <c r="A42" s="210">
        <f>A41+1</f>
        <v>2</v>
      </c>
      <c r="B42" s="99"/>
      <c r="C42" s="87" t="s">
        <v>1513</v>
      </c>
      <c r="D42" s="89">
        <v>3</v>
      </c>
      <c r="E42" s="89">
        <v>75</v>
      </c>
      <c r="F42" s="89">
        <v>4</v>
      </c>
      <c r="G42" s="89">
        <v>150</v>
      </c>
      <c r="H42" s="89">
        <v>3</v>
      </c>
      <c r="I42" s="89">
        <v>4</v>
      </c>
      <c r="J42" s="85">
        <v>73</v>
      </c>
      <c r="K42" s="85">
        <v>0</v>
      </c>
      <c r="L42" s="89">
        <f>26+21+26</f>
        <v>73</v>
      </c>
      <c r="M42" s="88">
        <f>104+84+104</f>
        <v>292</v>
      </c>
      <c r="N42" s="176">
        <v>6.87</v>
      </c>
      <c r="O42" s="271">
        <v>6.65</v>
      </c>
    </row>
    <row r="43" spans="1:15" ht="25.5">
      <c r="A43" s="210">
        <f t="shared" ref="A43" si="14">A42+1</f>
        <v>3</v>
      </c>
      <c r="B43" s="99"/>
      <c r="C43" s="87" t="s">
        <v>1512</v>
      </c>
      <c r="D43" s="89">
        <v>3</v>
      </c>
      <c r="E43" s="89">
        <v>75</v>
      </c>
      <c r="F43" s="89">
        <v>3</v>
      </c>
      <c r="G43" s="89">
        <v>225</v>
      </c>
      <c r="H43" s="89">
        <v>3</v>
      </c>
      <c r="I43" s="89">
        <v>3</v>
      </c>
      <c r="J43" s="85">
        <v>83</v>
      </c>
      <c r="K43" s="85">
        <v>0</v>
      </c>
      <c r="L43" s="89">
        <f>J43+K43</f>
        <v>83</v>
      </c>
      <c r="M43" s="88">
        <f>L43*F43</f>
        <v>249</v>
      </c>
      <c r="N43" s="176">
        <v>6.36</v>
      </c>
      <c r="O43" s="271">
        <v>5.87</v>
      </c>
    </row>
    <row r="44" spans="1:15" s="80" customFormat="1">
      <c r="A44" s="582"/>
      <c r="B44" s="941"/>
      <c r="C44" s="941"/>
      <c r="D44" s="582">
        <f t="shared" ref="D44:O44" si="15">SUM(D41:D43)</f>
        <v>10</v>
      </c>
      <c r="E44" s="582">
        <f t="shared" si="15"/>
        <v>230</v>
      </c>
      <c r="F44" s="582">
        <f t="shared" si="15"/>
        <v>10</v>
      </c>
      <c r="G44" s="582">
        <f t="shared" si="15"/>
        <v>535</v>
      </c>
      <c r="H44" s="582">
        <f t="shared" si="15"/>
        <v>9</v>
      </c>
      <c r="I44" s="582">
        <f t="shared" si="15"/>
        <v>10</v>
      </c>
      <c r="J44" s="582">
        <f t="shared" si="15"/>
        <v>218</v>
      </c>
      <c r="K44" s="582">
        <f t="shared" si="15"/>
        <v>0</v>
      </c>
      <c r="L44" s="582">
        <f t="shared" si="15"/>
        <v>218</v>
      </c>
      <c r="M44" s="582">
        <f t="shared" si="15"/>
        <v>727</v>
      </c>
      <c r="N44" s="583">
        <f t="shared" si="15"/>
        <v>18.95</v>
      </c>
      <c r="O44" s="584">
        <f t="shared" si="15"/>
        <v>17.62</v>
      </c>
    </row>
    <row r="45" spans="1:15" ht="20.25">
      <c r="A45" s="179" t="s">
        <v>321</v>
      </c>
      <c r="B45" s="150"/>
      <c r="C45" s="106"/>
      <c r="D45" s="106"/>
      <c r="E45" s="106"/>
      <c r="F45" s="106"/>
      <c r="G45" s="106"/>
      <c r="H45" s="106"/>
      <c r="I45" s="106"/>
      <c r="J45" s="106"/>
      <c r="K45" s="107"/>
      <c r="L45" s="106"/>
      <c r="M45" s="157"/>
      <c r="N45" s="157"/>
      <c r="O45" s="157"/>
    </row>
    <row r="46" spans="1:15" s="234" customFormat="1" ht="24">
      <c r="A46" s="210">
        <v>1</v>
      </c>
      <c r="B46" s="269" t="s">
        <v>326</v>
      </c>
      <c r="C46" s="143" t="s">
        <v>504</v>
      </c>
      <c r="D46" s="101">
        <v>1</v>
      </c>
      <c r="E46" s="258">
        <v>30</v>
      </c>
      <c r="F46" s="101">
        <v>5</v>
      </c>
      <c r="G46" s="258">
        <v>150</v>
      </c>
      <c r="H46" s="101">
        <v>1</v>
      </c>
      <c r="I46" s="101">
        <v>5</v>
      </c>
      <c r="J46" s="270">
        <v>30</v>
      </c>
      <c r="K46" s="270">
        <v>0</v>
      </c>
      <c r="L46" s="270">
        <f>J46+K46</f>
        <v>30</v>
      </c>
      <c r="M46" s="270">
        <f>L46*I46</f>
        <v>150</v>
      </c>
      <c r="N46" s="102">
        <v>3</v>
      </c>
      <c r="O46" s="102">
        <v>2.63</v>
      </c>
    </row>
    <row r="47" spans="1:15" s="234" customFormat="1" ht="24">
      <c r="A47" s="210">
        <f>A46+1</f>
        <v>2</v>
      </c>
      <c r="B47" s="269" t="s">
        <v>325</v>
      </c>
      <c r="C47" s="143" t="s">
        <v>322</v>
      </c>
      <c r="D47" s="101">
        <v>1</v>
      </c>
      <c r="E47" s="258">
        <v>30</v>
      </c>
      <c r="F47" s="101">
        <v>5</v>
      </c>
      <c r="G47" s="258">
        <v>150</v>
      </c>
      <c r="H47" s="101">
        <v>1</v>
      </c>
      <c r="I47" s="101">
        <v>5</v>
      </c>
      <c r="J47" s="270">
        <v>30</v>
      </c>
      <c r="K47" s="270">
        <v>0</v>
      </c>
      <c r="L47" s="270">
        <f t="shared" ref="L47:L49" si="16">J47+K47</f>
        <v>30</v>
      </c>
      <c r="M47" s="270">
        <f t="shared" ref="M47:M49" si="17">L47*I47</f>
        <v>150</v>
      </c>
      <c r="N47" s="102">
        <v>3</v>
      </c>
      <c r="O47" s="102">
        <v>2.63</v>
      </c>
    </row>
    <row r="48" spans="1:15" s="234" customFormat="1" ht="36">
      <c r="A48" s="210">
        <f t="shared" ref="A48:A49" si="18">A47+1</f>
        <v>3</v>
      </c>
      <c r="B48" s="143" t="s">
        <v>327</v>
      </c>
      <c r="C48" s="143" t="s">
        <v>323</v>
      </c>
      <c r="D48" s="101">
        <v>1</v>
      </c>
      <c r="E48" s="258">
        <v>30</v>
      </c>
      <c r="F48" s="101">
        <v>5</v>
      </c>
      <c r="G48" s="258">
        <v>150</v>
      </c>
      <c r="H48" s="101">
        <v>1</v>
      </c>
      <c r="I48" s="101">
        <v>5</v>
      </c>
      <c r="J48" s="270">
        <v>27</v>
      </c>
      <c r="K48" s="270">
        <v>0</v>
      </c>
      <c r="L48" s="270">
        <f t="shared" si="16"/>
        <v>27</v>
      </c>
      <c r="M48" s="270">
        <f t="shared" si="17"/>
        <v>135</v>
      </c>
      <c r="N48" s="102">
        <v>3</v>
      </c>
      <c r="O48" s="102">
        <v>2.91</v>
      </c>
    </row>
    <row r="49" spans="1:15" s="234" customFormat="1" ht="44.25" customHeight="1">
      <c r="A49" s="210">
        <f t="shared" si="18"/>
        <v>4</v>
      </c>
      <c r="B49" s="143" t="s">
        <v>328</v>
      </c>
      <c r="C49" s="143" t="s">
        <v>324</v>
      </c>
      <c r="D49" s="101">
        <v>1</v>
      </c>
      <c r="E49" s="258">
        <v>30</v>
      </c>
      <c r="F49" s="101">
        <v>5</v>
      </c>
      <c r="G49" s="258">
        <v>150</v>
      </c>
      <c r="H49" s="101">
        <v>1</v>
      </c>
      <c r="I49" s="101">
        <v>5</v>
      </c>
      <c r="J49" s="270">
        <v>28</v>
      </c>
      <c r="K49" s="270">
        <v>0</v>
      </c>
      <c r="L49" s="270">
        <f t="shared" si="16"/>
        <v>28</v>
      </c>
      <c r="M49" s="270">
        <f t="shared" si="17"/>
        <v>140</v>
      </c>
      <c r="N49" s="102">
        <v>3</v>
      </c>
      <c r="O49" s="102">
        <v>2.94</v>
      </c>
    </row>
    <row r="50" spans="1:15" s="80" customFormat="1" ht="13.5" customHeight="1">
      <c r="A50" s="849"/>
      <c r="B50" s="951" t="s">
        <v>1583</v>
      </c>
      <c r="C50" s="952"/>
      <c r="D50" s="850">
        <f>SUM(D46:D49)</f>
        <v>4</v>
      </c>
      <c r="E50" s="850">
        <f t="shared" ref="E50:N50" si="19">SUM(E46:E49)</f>
        <v>120</v>
      </c>
      <c r="F50" s="850">
        <f t="shared" si="19"/>
        <v>20</v>
      </c>
      <c r="G50" s="850">
        <f t="shared" si="19"/>
        <v>600</v>
      </c>
      <c r="H50" s="850">
        <f t="shared" si="19"/>
        <v>4</v>
      </c>
      <c r="I50" s="850"/>
      <c r="J50" s="850">
        <f t="shared" si="19"/>
        <v>115</v>
      </c>
      <c r="K50" s="850">
        <f t="shared" si="19"/>
        <v>0</v>
      </c>
      <c r="L50" s="850">
        <f t="shared" si="19"/>
        <v>115</v>
      </c>
      <c r="M50" s="850">
        <f t="shared" si="19"/>
        <v>575</v>
      </c>
      <c r="N50" s="851">
        <f t="shared" si="19"/>
        <v>12</v>
      </c>
      <c r="O50" s="852">
        <f>SUM(O46:O49)</f>
        <v>11.11</v>
      </c>
    </row>
    <row r="51" spans="1:15" ht="20.25">
      <c r="A51" s="180" t="s">
        <v>459</v>
      </c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</row>
    <row r="52" spans="1:15" s="234" customFormat="1">
      <c r="A52" s="210">
        <v>1</v>
      </c>
      <c r="B52" s="143" t="s">
        <v>365</v>
      </c>
      <c r="C52" s="143" t="s">
        <v>367</v>
      </c>
      <c r="D52" s="210">
        <v>2</v>
      </c>
      <c r="E52" s="210">
        <v>45</v>
      </c>
      <c r="F52" s="210">
        <v>2</v>
      </c>
      <c r="G52" s="210">
        <v>90</v>
      </c>
      <c r="H52" s="210">
        <v>1</v>
      </c>
      <c r="I52" s="210">
        <v>1</v>
      </c>
      <c r="J52" s="210">
        <v>77</v>
      </c>
      <c r="K52" s="210">
        <v>0</v>
      </c>
      <c r="L52" s="210">
        <v>77</v>
      </c>
      <c r="M52" s="210">
        <v>77</v>
      </c>
      <c r="N52" s="271">
        <v>4</v>
      </c>
      <c r="O52" s="272">
        <v>2.57</v>
      </c>
    </row>
    <row r="53" spans="1:15" s="234" customFormat="1">
      <c r="A53" s="210">
        <v>2</v>
      </c>
      <c r="B53" s="143" t="s">
        <v>366</v>
      </c>
      <c r="C53" s="143" t="s">
        <v>368</v>
      </c>
      <c r="D53" s="210">
        <v>2</v>
      </c>
      <c r="E53" s="210">
        <v>30</v>
      </c>
      <c r="F53" s="210">
        <v>2</v>
      </c>
      <c r="G53" s="210">
        <v>60</v>
      </c>
      <c r="H53" s="210">
        <v>1</v>
      </c>
      <c r="I53" s="210">
        <v>2</v>
      </c>
      <c r="J53" s="210">
        <v>45</v>
      </c>
      <c r="K53" s="210">
        <v>14</v>
      </c>
      <c r="L53" s="210">
        <v>59</v>
      </c>
      <c r="M53" s="210">
        <v>118</v>
      </c>
      <c r="N53" s="273">
        <v>3</v>
      </c>
      <c r="O53" s="273">
        <v>5</v>
      </c>
    </row>
    <row r="54" spans="1:15" s="80" customFormat="1" ht="12.75" customHeight="1">
      <c r="A54" s="582"/>
      <c r="B54" s="853" t="s">
        <v>460</v>
      </c>
      <c r="C54" s="582"/>
      <c r="D54" s="582">
        <f>SUM(D52:D53)</f>
        <v>4</v>
      </c>
      <c r="E54" s="582">
        <f t="shared" ref="E54:O54" si="20">SUM(E52:E53)</f>
        <v>75</v>
      </c>
      <c r="F54" s="582">
        <f t="shared" si="20"/>
        <v>4</v>
      </c>
      <c r="G54" s="582">
        <f t="shared" si="20"/>
        <v>150</v>
      </c>
      <c r="H54" s="582">
        <f t="shared" si="20"/>
        <v>2</v>
      </c>
      <c r="I54" s="582">
        <f t="shared" si="20"/>
        <v>3</v>
      </c>
      <c r="J54" s="582">
        <f t="shared" si="20"/>
        <v>122</v>
      </c>
      <c r="K54" s="582">
        <f t="shared" si="20"/>
        <v>14</v>
      </c>
      <c r="L54" s="582">
        <f t="shared" si="20"/>
        <v>136</v>
      </c>
      <c r="M54" s="582">
        <f t="shared" si="20"/>
        <v>195</v>
      </c>
      <c r="N54" s="583">
        <f t="shared" si="20"/>
        <v>7</v>
      </c>
      <c r="O54" s="584">
        <f t="shared" si="20"/>
        <v>7.57</v>
      </c>
    </row>
    <row r="55" spans="1:15" ht="20.25">
      <c r="A55" s="180" t="s">
        <v>412</v>
      </c>
      <c r="B55" s="106"/>
      <c r="C55" s="106"/>
      <c r="D55" s="106"/>
      <c r="E55" s="106"/>
      <c r="F55" s="106"/>
      <c r="G55" s="106"/>
      <c r="H55" s="106"/>
      <c r="I55" s="106"/>
      <c r="J55" s="106"/>
      <c r="K55" s="113"/>
      <c r="L55" s="106"/>
      <c r="M55" s="111"/>
      <c r="N55" s="112"/>
      <c r="O55" s="112"/>
    </row>
    <row r="56" spans="1:15" s="234" customFormat="1" ht="27" customHeight="1">
      <c r="A56" s="210">
        <v>1</v>
      </c>
      <c r="B56" s="274"/>
      <c r="C56" s="255" t="s">
        <v>188</v>
      </c>
      <c r="D56" s="108">
        <v>1</v>
      </c>
      <c r="E56" s="210">
        <v>30</v>
      </c>
      <c r="F56" s="108">
        <v>2</v>
      </c>
      <c r="G56" s="210">
        <v>60</v>
      </c>
      <c r="H56" s="210">
        <v>1</v>
      </c>
      <c r="I56" s="210">
        <v>1</v>
      </c>
      <c r="J56" s="210">
        <v>123</v>
      </c>
      <c r="K56" s="210">
        <v>2</v>
      </c>
      <c r="L56" s="210">
        <v>125</v>
      </c>
      <c r="M56" s="210">
        <v>125</v>
      </c>
      <c r="N56" s="272">
        <v>2.81</v>
      </c>
      <c r="O56" s="272">
        <v>4.38</v>
      </c>
    </row>
    <row r="57" spans="1:15" s="234" customFormat="1" ht="38.25" customHeight="1">
      <c r="A57" s="210">
        <f>A56+1</f>
        <v>2</v>
      </c>
      <c r="B57" s="274"/>
      <c r="C57" s="255" t="s">
        <v>189</v>
      </c>
      <c r="D57" s="108">
        <v>1</v>
      </c>
      <c r="E57" s="210">
        <v>30</v>
      </c>
      <c r="F57" s="108">
        <v>6</v>
      </c>
      <c r="G57" s="210">
        <v>180</v>
      </c>
      <c r="H57" s="210"/>
      <c r="I57" s="210"/>
      <c r="J57" s="98"/>
      <c r="K57" s="98"/>
      <c r="L57" s="98"/>
      <c r="M57" s="98"/>
      <c r="N57" s="114"/>
      <c r="O57" s="114"/>
    </row>
    <row r="58" spans="1:15" s="234" customFormat="1" ht="24">
      <c r="A58" s="210">
        <f t="shared" ref="A58:A59" si="21">A57+1</f>
        <v>3</v>
      </c>
      <c r="B58" s="274"/>
      <c r="C58" s="255" t="s">
        <v>579</v>
      </c>
      <c r="D58" s="108">
        <v>2</v>
      </c>
      <c r="E58" s="210">
        <v>63</v>
      </c>
      <c r="F58" s="108">
        <v>1</v>
      </c>
      <c r="G58" s="210">
        <v>126</v>
      </c>
      <c r="H58" s="210">
        <v>2</v>
      </c>
      <c r="I58" s="210">
        <v>1</v>
      </c>
      <c r="J58" s="210">
        <v>126</v>
      </c>
      <c r="K58" s="210">
        <v>0</v>
      </c>
      <c r="L58" s="210">
        <v>126</v>
      </c>
      <c r="M58" s="210">
        <v>126</v>
      </c>
      <c r="N58" s="272">
        <v>1.65</v>
      </c>
      <c r="O58" s="272">
        <v>1.65</v>
      </c>
    </row>
    <row r="59" spans="1:15" s="234" customFormat="1" ht="36">
      <c r="A59" s="210">
        <f t="shared" si="21"/>
        <v>4</v>
      </c>
      <c r="B59" s="274"/>
      <c r="C59" s="255" t="s">
        <v>580</v>
      </c>
      <c r="D59" s="108">
        <v>1</v>
      </c>
      <c r="E59" s="210">
        <v>66</v>
      </c>
      <c r="F59" s="108">
        <v>1</v>
      </c>
      <c r="G59" s="210">
        <v>66</v>
      </c>
      <c r="H59" s="210">
        <v>1</v>
      </c>
      <c r="I59" s="210">
        <v>1</v>
      </c>
      <c r="J59" s="210">
        <v>56</v>
      </c>
      <c r="K59" s="210">
        <v>3</v>
      </c>
      <c r="L59" s="210">
        <v>59</v>
      </c>
      <c r="M59" s="210">
        <v>59</v>
      </c>
      <c r="N59" s="272">
        <v>1.04</v>
      </c>
      <c r="O59" s="272">
        <v>1.04</v>
      </c>
    </row>
    <row r="60" spans="1:15" s="80" customFormat="1">
      <c r="A60" s="582"/>
      <c r="B60" s="941" t="s">
        <v>1364</v>
      </c>
      <c r="C60" s="941"/>
      <c r="D60" s="582">
        <f t="shared" ref="D60:O60" si="22">SUM(D56:D59)</f>
        <v>5</v>
      </c>
      <c r="E60" s="582">
        <f t="shared" si="22"/>
        <v>189</v>
      </c>
      <c r="F60" s="582">
        <f t="shared" si="22"/>
        <v>10</v>
      </c>
      <c r="G60" s="582">
        <f t="shared" si="22"/>
        <v>432</v>
      </c>
      <c r="H60" s="582">
        <f t="shared" si="22"/>
        <v>4</v>
      </c>
      <c r="I60" s="582">
        <f t="shared" si="22"/>
        <v>3</v>
      </c>
      <c r="J60" s="582">
        <f t="shared" si="22"/>
        <v>305</v>
      </c>
      <c r="K60" s="582">
        <f t="shared" si="22"/>
        <v>5</v>
      </c>
      <c r="L60" s="582">
        <f t="shared" si="22"/>
        <v>310</v>
      </c>
      <c r="M60" s="582">
        <f t="shared" si="22"/>
        <v>310</v>
      </c>
      <c r="N60" s="583">
        <f t="shared" si="22"/>
        <v>5.5</v>
      </c>
      <c r="O60" s="584">
        <f t="shared" si="22"/>
        <v>7.0699999999999994</v>
      </c>
    </row>
    <row r="61" spans="1:15" ht="20.25">
      <c r="A61" s="194" t="s">
        <v>345</v>
      </c>
      <c r="B61" s="158"/>
      <c r="C61" s="160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</row>
    <row r="62" spans="1:15" s="234" customFormat="1" ht="24">
      <c r="A62" s="210">
        <v>1</v>
      </c>
      <c r="B62" s="274"/>
      <c r="C62" s="275" t="s">
        <v>346</v>
      </c>
      <c r="D62" s="276">
        <v>12</v>
      </c>
      <c r="E62" s="210">
        <v>360</v>
      </c>
      <c r="F62" s="108">
        <v>1</v>
      </c>
      <c r="G62" s="210">
        <v>360</v>
      </c>
      <c r="H62" s="210">
        <v>4</v>
      </c>
      <c r="I62" s="210">
        <v>1</v>
      </c>
      <c r="J62" s="210">
        <v>105</v>
      </c>
      <c r="K62" s="210">
        <v>0</v>
      </c>
      <c r="L62" s="210">
        <v>105</v>
      </c>
      <c r="M62" s="210">
        <v>105</v>
      </c>
      <c r="N62" s="277">
        <v>2</v>
      </c>
      <c r="O62" s="854">
        <v>1.99</v>
      </c>
    </row>
    <row r="63" spans="1:15" s="234" customFormat="1">
      <c r="A63" s="210">
        <v>2</v>
      </c>
      <c r="B63" s="274"/>
      <c r="C63" s="275" t="s">
        <v>347</v>
      </c>
      <c r="D63" s="276">
        <v>5</v>
      </c>
      <c r="E63" s="210">
        <v>150</v>
      </c>
      <c r="F63" s="108">
        <v>1</v>
      </c>
      <c r="G63" s="210">
        <v>150</v>
      </c>
      <c r="H63" s="210">
        <v>5</v>
      </c>
      <c r="I63" s="210">
        <v>1</v>
      </c>
      <c r="J63" s="210">
        <v>0</v>
      </c>
      <c r="K63" s="210">
        <v>0</v>
      </c>
      <c r="L63" s="210">
        <v>0</v>
      </c>
      <c r="M63" s="210">
        <v>0</v>
      </c>
      <c r="N63" s="277">
        <v>3</v>
      </c>
      <c r="O63" s="831">
        <v>0</v>
      </c>
    </row>
    <row r="64" spans="1:15" s="234" customFormat="1" ht="48">
      <c r="A64" s="210">
        <v>3</v>
      </c>
      <c r="B64" s="274"/>
      <c r="C64" s="275" t="s">
        <v>348</v>
      </c>
      <c r="D64" s="276">
        <v>3200</v>
      </c>
      <c r="E64" s="210">
        <v>80000</v>
      </c>
      <c r="F64" s="108">
        <v>6.5</v>
      </c>
      <c r="G64" s="210">
        <v>520000</v>
      </c>
      <c r="H64" s="210">
        <v>3200</v>
      </c>
      <c r="I64" s="210">
        <v>6.5</v>
      </c>
      <c r="J64" s="210">
        <v>64000</v>
      </c>
      <c r="K64" s="210">
        <v>16000</v>
      </c>
      <c r="L64" s="210">
        <v>80000</v>
      </c>
      <c r="M64" s="210">
        <v>520000</v>
      </c>
      <c r="N64" s="277">
        <v>6264</v>
      </c>
      <c r="O64" s="831">
        <v>6264</v>
      </c>
    </row>
    <row r="65" spans="1:15" s="234" customFormat="1" ht="24">
      <c r="A65" s="210">
        <v>4</v>
      </c>
      <c r="B65" s="274"/>
      <c r="C65" s="275" t="s">
        <v>351</v>
      </c>
      <c r="D65" s="278">
        <v>2</v>
      </c>
      <c r="E65" s="210">
        <v>8</v>
      </c>
      <c r="F65" s="108">
        <v>5</v>
      </c>
      <c r="G65" s="210">
        <v>40</v>
      </c>
      <c r="H65" s="210">
        <v>2</v>
      </c>
      <c r="I65" s="210">
        <v>5</v>
      </c>
      <c r="J65" s="210">
        <v>0</v>
      </c>
      <c r="K65" s="210">
        <v>0</v>
      </c>
      <c r="L65" s="210">
        <v>0</v>
      </c>
      <c r="M65" s="210">
        <v>0</v>
      </c>
      <c r="N65" s="277">
        <v>0.4</v>
      </c>
      <c r="O65" s="832">
        <v>0</v>
      </c>
    </row>
    <row r="66" spans="1:15" s="80" customFormat="1" ht="15.75" customHeight="1">
      <c r="A66" s="319"/>
      <c r="B66" s="947" t="s">
        <v>943</v>
      </c>
      <c r="C66" s="947"/>
      <c r="D66" s="319">
        <f>SUM(D62:D65)</f>
        <v>3219</v>
      </c>
      <c r="E66" s="319">
        <f t="shared" ref="E66:N66" si="23">SUM(E62:E65)</f>
        <v>80518</v>
      </c>
      <c r="F66" s="319">
        <f t="shared" si="23"/>
        <v>13.5</v>
      </c>
      <c r="G66" s="319">
        <f t="shared" si="23"/>
        <v>520550</v>
      </c>
      <c r="H66" s="319">
        <f t="shared" si="23"/>
        <v>3211</v>
      </c>
      <c r="I66" s="319">
        <f t="shared" si="23"/>
        <v>13.5</v>
      </c>
      <c r="J66" s="319">
        <f t="shared" si="23"/>
        <v>64105</v>
      </c>
      <c r="K66" s="319">
        <f t="shared" si="23"/>
        <v>16000</v>
      </c>
      <c r="L66" s="319">
        <f t="shared" si="23"/>
        <v>80105</v>
      </c>
      <c r="M66" s="319">
        <f t="shared" si="23"/>
        <v>520105</v>
      </c>
      <c r="N66" s="320">
        <f t="shared" si="23"/>
        <v>6269.4</v>
      </c>
      <c r="O66" s="321">
        <f>SUM(O62:O65)</f>
        <v>6265.99</v>
      </c>
    </row>
    <row r="67" spans="1:15" ht="20.25">
      <c r="A67" s="181" t="s">
        <v>41</v>
      </c>
      <c r="B67" s="158"/>
      <c r="C67" s="160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</row>
    <row r="68" spans="1:15" s="234" customFormat="1" ht="24">
      <c r="A68" s="210">
        <v>1</v>
      </c>
      <c r="B68" s="279"/>
      <c r="C68" s="280" t="s">
        <v>941</v>
      </c>
      <c r="D68" s="276">
        <v>106</v>
      </c>
      <c r="E68" s="276">
        <f>D68*20</f>
        <v>2120</v>
      </c>
      <c r="F68" s="276" t="s">
        <v>942</v>
      </c>
      <c r="G68" s="278">
        <f>87*10*20+19*45*20</f>
        <v>34500</v>
      </c>
      <c r="H68" s="276">
        <v>87</v>
      </c>
      <c r="I68" s="276">
        <v>10</v>
      </c>
      <c r="J68" s="276">
        <v>40</v>
      </c>
      <c r="K68" s="278">
        <v>1700</v>
      </c>
      <c r="L68" s="276">
        <f>J68+K68</f>
        <v>1740</v>
      </c>
      <c r="M68" s="276">
        <f>L68*I68</f>
        <v>17400</v>
      </c>
      <c r="N68" s="281">
        <v>249.39</v>
      </c>
      <c r="O68" s="282">
        <v>126.67</v>
      </c>
    </row>
    <row r="69" spans="1:15" s="234" customFormat="1" ht="36">
      <c r="A69" s="210">
        <v>2</v>
      </c>
      <c r="B69" s="279"/>
      <c r="C69" s="280" t="s">
        <v>462</v>
      </c>
      <c r="D69" s="283">
        <v>43</v>
      </c>
      <c r="E69" s="284">
        <f>28*43</f>
        <v>1204</v>
      </c>
      <c r="F69" s="285">
        <v>15</v>
      </c>
      <c r="G69" s="283">
        <f>E69*F69</f>
        <v>18060</v>
      </c>
      <c r="H69" s="283">
        <v>19</v>
      </c>
      <c r="I69" s="285">
        <v>15</v>
      </c>
      <c r="J69" s="283">
        <v>475</v>
      </c>
      <c r="K69" s="283">
        <v>57</v>
      </c>
      <c r="L69" s="283">
        <v>532</v>
      </c>
      <c r="M69" s="283">
        <v>7980</v>
      </c>
      <c r="N69" s="286">
        <v>99.67</v>
      </c>
      <c r="O69" s="286">
        <v>67.77</v>
      </c>
    </row>
    <row r="70" spans="1:15" s="80" customFormat="1">
      <c r="A70" s="582"/>
      <c r="B70" s="941" t="s">
        <v>463</v>
      </c>
      <c r="C70" s="941"/>
      <c r="D70" s="582">
        <f>SUM(D68:D69)</f>
        <v>149</v>
      </c>
      <c r="E70" s="582">
        <f>SUM(E68:E69)</f>
        <v>3324</v>
      </c>
      <c r="F70" s="582"/>
      <c r="G70" s="582">
        <f>SUM(G68:G69)</f>
        <v>52560</v>
      </c>
      <c r="H70" s="582">
        <f>SUM(H68:H69)</f>
        <v>106</v>
      </c>
      <c r="I70" s="582"/>
      <c r="J70" s="582">
        <f t="shared" ref="J70:O70" si="24">SUM(J68:J69)</f>
        <v>515</v>
      </c>
      <c r="K70" s="582">
        <f t="shared" si="24"/>
        <v>1757</v>
      </c>
      <c r="L70" s="582">
        <f t="shared" si="24"/>
        <v>2272</v>
      </c>
      <c r="M70" s="582">
        <f t="shared" si="24"/>
        <v>25380</v>
      </c>
      <c r="N70" s="583">
        <f t="shared" si="24"/>
        <v>349.06</v>
      </c>
      <c r="O70" s="584">
        <f t="shared" si="24"/>
        <v>194.44</v>
      </c>
    </row>
    <row r="71" spans="1:15" ht="20.25">
      <c r="A71" s="181" t="s">
        <v>874</v>
      </c>
      <c r="B71" s="158"/>
      <c r="C71" s="160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</row>
    <row r="72" spans="1:15" ht="24">
      <c r="A72" s="210">
        <v>1</v>
      </c>
      <c r="B72" s="314"/>
      <c r="C72" s="143" t="s">
        <v>939</v>
      </c>
      <c r="D72" s="210"/>
      <c r="E72" s="210"/>
      <c r="F72" s="210"/>
      <c r="G72" s="210"/>
      <c r="H72" s="210">
        <v>1</v>
      </c>
      <c r="I72" s="210">
        <v>4</v>
      </c>
      <c r="J72" s="210">
        <v>28</v>
      </c>
      <c r="K72" s="210">
        <v>0</v>
      </c>
      <c r="L72" s="210">
        <v>28</v>
      </c>
      <c r="M72" s="210">
        <f>L72*I72</f>
        <v>112</v>
      </c>
      <c r="N72" s="272"/>
      <c r="O72" s="272"/>
    </row>
    <row r="73" spans="1:15" ht="20.25">
      <c r="A73" s="210">
        <f>A72+1</f>
        <v>2</v>
      </c>
      <c r="B73" s="314"/>
      <c r="C73" s="143" t="s">
        <v>1238</v>
      </c>
      <c r="D73" s="210"/>
      <c r="E73" s="210"/>
      <c r="F73" s="210"/>
      <c r="G73" s="210"/>
      <c r="H73" s="210">
        <v>125</v>
      </c>
      <c r="I73" s="210">
        <v>1</v>
      </c>
      <c r="J73" s="210">
        <v>1625</v>
      </c>
      <c r="K73" s="210">
        <v>1500</v>
      </c>
      <c r="L73" s="210">
        <v>3125</v>
      </c>
      <c r="M73" s="210">
        <v>3125</v>
      </c>
      <c r="N73" s="273">
        <v>21.375</v>
      </c>
      <c r="O73" s="273">
        <v>21.375</v>
      </c>
    </row>
    <row r="74" spans="1:15" ht="20.25">
      <c r="A74" s="210">
        <f t="shared" ref="A74:A76" si="25">A73+1</f>
        <v>3</v>
      </c>
      <c r="B74" s="314"/>
      <c r="C74" s="143" t="s">
        <v>940</v>
      </c>
      <c r="D74" s="210"/>
      <c r="E74" s="210"/>
      <c r="F74" s="210"/>
      <c r="G74" s="210"/>
      <c r="H74" s="210">
        <v>9</v>
      </c>
      <c r="I74" s="210">
        <v>1</v>
      </c>
      <c r="J74" s="210">
        <v>120</v>
      </c>
      <c r="K74" s="210">
        <v>144</v>
      </c>
      <c r="L74" s="210">
        <v>264</v>
      </c>
      <c r="M74" s="210">
        <v>264</v>
      </c>
      <c r="N74" s="272">
        <v>1.71</v>
      </c>
      <c r="O74" s="272">
        <v>1.71</v>
      </c>
    </row>
    <row r="75" spans="1:15" ht="20.25">
      <c r="A75" s="210">
        <f t="shared" si="25"/>
        <v>4</v>
      </c>
      <c r="B75" s="314"/>
      <c r="C75" s="143" t="s">
        <v>1239</v>
      </c>
      <c r="D75" s="210"/>
      <c r="E75" s="210"/>
      <c r="F75" s="210"/>
      <c r="G75" s="210"/>
      <c r="H75" s="210">
        <v>5</v>
      </c>
      <c r="I75" s="210">
        <v>1</v>
      </c>
      <c r="J75" s="210">
        <v>560</v>
      </c>
      <c r="K75" s="210">
        <v>22</v>
      </c>
      <c r="L75" s="210">
        <v>582</v>
      </c>
      <c r="M75" s="210">
        <v>582</v>
      </c>
      <c r="N75" s="273">
        <v>11.8</v>
      </c>
      <c r="O75" s="272">
        <v>15.42</v>
      </c>
    </row>
    <row r="76" spans="1:15" ht="20.25">
      <c r="A76" s="210">
        <f t="shared" si="25"/>
        <v>5</v>
      </c>
      <c r="B76" s="314"/>
      <c r="C76" s="143" t="s">
        <v>1240</v>
      </c>
      <c r="D76" s="210"/>
      <c r="E76" s="210"/>
      <c r="F76" s="210"/>
      <c r="G76" s="210"/>
      <c r="H76" s="210">
        <v>5</v>
      </c>
      <c r="I76" s="210">
        <v>1</v>
      </c>
      <c r="J76" s="210">
        <v>248</v>
      </c>
      <c r="K76" s="210">
        <v>19</v>
      </c>
      <c r="L76" s="210">
        <v>267</v>
      </c>
      <c r="M76" s="210">
        <v>267</v>
      </c>
      <c r="N76" s="273">
        <v>11.8</v>
      </c>
      <c r="O76" s="272">
        <v>9.42</v>
      </c>
    </row>
    <row r="77" spans="1:15" s="80" customFormat="1">
      <c r="A77" s="582"/>
      <c r="B77" s="948" t="s">
        <v>1280</v>
      </c>
      <c r="C77" s="949"/>
      <c r="D77" s="582">
        <f>SUM(D72:D76)</f>
        <v>0</v>
      </c>
      <c r="E77" s="582">
        <f>SUM(E72:E76)</f>
        <v>0</v>
      </c>
      <c r="F77" s="582"/>
      <c r="G77" s="582">
        <f>SUM(G72:G76)</f>
        <v>0</v>
      </c>
      <c r="H77" s="582">
        <f>SUM(H72:H76)</f>
        <v>145</v>
      </c>
      <c r="I77" s="582"/>
      <c r="J77" s="582">
        <f>SUM(J72:J76)</f>
        <v>2581</v>
      </c>
      <c r="K77" s="582">
        <f t="shared" ref="K77:O77" si="26">SUM(K72:K76)</f>
        <v>1685</v>
      </c>
      <c r="L77" s="582">
        <f t="shared" si="26"/>
        <v>4266</v>
      </c>
      <c r="M77" s="582">
        <f t="shared" si="26"/>
        <v>4350</v>
      </c>
      <c r="N77" s="583">
        <f t="shared" si="26"/>
        <v>46.685000000000002</v>
      </c>
      <c r="O77" s="584">
        <f t="shared" si="26"/>
        <v>47.925000000000004</v>
      </c>
    </row>
    <row r="78" spans="1:15" s="80" customFormat="1" ht="20.25">
      <c r="A78" s="181" t="s">
        <v>27</v>
      </c>
      <c r="B78" s="161"/>
      <c r="C78" s="159"/>
      <c r="D78" s="159"/>
      <c r="E78" s="159"/>
      <c r="F78" s="159"/>
      <c r="G78" s="159"/>
      <c r="H78" s="159"/>
      <c r="I78" s="110"/>
      <c r="J78" s="110"/>
      <c r="K78" s="110"/>
      <c r="L78" s="110"/>
      <c r="M78" s="162"/>
      <c r="N78" s="163"/>
      <c r="O78" s="163"/>
    </row>
    <row r="79" spans="1:15" s="80" customFormat="1">
      <c r="A79" s="115"/>
      <c r="B79" s="116" t="s">
        <v>464</v>
      </c>
      <c r="C79" s="117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</row>
    <row r="80" spans="1:15" s="80" customFormat="1">
      <c r="A80" s="115"/>
      <c r="B80" s="119" t="s">
        <v>465</v>
      </c>
      <c r="C80" s="120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2"/>
      <c r="O80" s="122"/>
    </row>
    <row r="81" spans="1:15" s="234" customFormat="1" ht="24">
      <c r="A81" s="108">
        <v>1</v>
      </c>
      <c r="B81" s="255" t="s">
        <v>147</v>
      </c>
      <c r="C81" s="255" t="s">
        <v>148</v>
      </c>
      <c r="D81" s="235">
        <v>1</v>
      </c>
      <c r="E81" s="108">
        <v>50</v>
      </c>
      <c r="F81" s="235">
        <v>1</v>
      </c>
      <c r="G81" s="235">
        <v>50</v>
      </c>
      <c r="H81" s="108"/>
      <c r="I81" s="108"/>
      <c r="J81" s="108"/>
      <c r="K81" s="108"/>
      <c r="L81" s="108"/>
      <c r="M81" s="108"/>
      <c r="N81" s="236">
        <v>0.5</v>
      </c>
      <c r="O81" s="140"/>
    </row>
    <row r="82" spans="1:15" s="234" customFormat="1" ht="24">
      <c r="A82" s="108">
        <f>A81+1</f>
        <v>2</v>
      </c>
      <c r="B82" s="255" t="s">
        <v>149</v>
      </c>
      <c r="C82" s="255" t="s">
        <v>150</v>
      </c>
      <c r="D82" s="235">
        <v>20</v>
      </c>
      <c r="E82" s="108">
        <v>600</v>
      </c>
      <c r="F82" s="235">
        <v>1</v>
      </c>
      <c r="G82" s="235">
        <v>600</v>
      </c>
      <c r="H82" s="108">
        <v>22</v>
      </c>
      <c r="I82" s="108">
        <v>1</v>
      </c>
      <c r="J82" s="108">
        <v>150</v>
      </c>
      <c r="K82" s="108">
        <v>510</v>
      </c>
      <c r="L82" s="108">
        <f>J82+K82</f>
        <v>660</v>
      </c>
      <c r="M82" s="108">
        <f>I82*L82</f>
        <v>660</v>
      </c>
      <c r="N82" s="268">
        <v>4.6500000000000004</v>
      </c>
      <c r="O82" s="140">
        <v>5.0999999999999996</v>
      </c>
    </row>
    <row r="83" spans="1:15" s="234" customFormat="1" ht="24">
      <c r="A83" s="108">
        <f t="shared" ref="A83:A112" si="27">A82+1</f>
        <v>3</v>
      </c>
      <c r="B83" s="255" t="s">
        <v>151</v>
      </c>
      <c r="C83" s="255" t="s">
        <v>152</v>
      </c>
      <c r="D83" s="235">
        <v>3</v>
      </c>
      <c r="E83" s="108">
        <v>60</v>
      </c>
      <c r="F83" s="235">
        <v>1</v>
      </c>
      <c r="G83" s="235">
        <v>60</v>
      </c>
      <c r="H83" s="108">
        <v>1</v>
      </c>
      <c r="I83" s="108">
        <v>1</v>
      </c>
      <c r="J83" s="108">
        <v>0</v>
      </c>
      <c r="K83" s="108">
        <v>20</v>
      </c>
      <c r="L83" s="108">
        <f t="shared" ref="L83:L85" si="28">J83+K83</f>
        <v>20</v>
      </c>
      <c r="M83" s="108">
        <f t="shared" ref="M83:M85" si="29">I83*L83</f>
        <v>20</v>
      </c>
      <c r="N83" s="268">
        <v>0.55000000000000004</v>
      </c>
      <c r="O83" s="140">
        <v>0.17</v>
      </c>
    </row>
    <row r="84" spans="1:15" s="234" customFormat="1">
      <c r="A84" s="108">
        <f t="shared" si="27"/>
        <v>4</v>
      </c>
      <c r="B84" s="255" t="s">
        <v>153</v>
      </c>
      <c r="C84" s="255" t="s">
        <v>154</v>
      </c>
      <c r="D84" s="235">
        <v>2</v>
      </c>
      <c r="E84" s="108">
        <v>40</v>
      </c>
      <c r="F84" s="235">
        <v>1</v>
      </c>
      <c r="G84" s="235">
        <v>40</v>
      </c>
      <c r="H84" s="108">
        <v>3</v>
      </c>
      <c r="I84" s="108">
        <v>1</v>
      </c>
      <c r="J84" s="108">
        <v>60</v>
      </c>
      <c r="K84" s="108">
        <v>0</v>
      </c>
      <c r="L84" s="108">
        <f t="shared" si="28"/>
        <v>60</v>
      </c>
      <c r="M84" s="108">
        <f t="shared" si="29"/>
        <v>60</v>
      </c>
      <c r="N84" s="236">
        <v>0.5</v>
      </c>
      <c r="O84" s="140">
        <v>0.71</v>
      </c>
    </row>
    <row r="85" spans="1:15" s="234" customFormat="1">
      <c r="A85" s="108">
        <f t="shared" si="27"/>
        <v>5</v>
      </c>
      <c r="B85" s="255" t="s">
        <v>155</v>
      </c>
      <c r="C85" s="255" t="s">
        <v>156</v>
      </c>
      <c r="D85" s="235">
        <v>5</v>
      </c>
      <c r="E85" s="108">
        <v>100</v>
      </c>
      <c r="F85" s="235">
        <v>3</v>
      </c>
      <c r="G85" s="235">
        <v>300</v>
      </c>
      <c r="H85" s="108">
        <v>5</v>
      </c>
      <c r="I85" s="108">
        <v>3</v>
      </c>
      <c r="J85" s="108">
        <v>110</v>
      </c>
      <c r="K85" s="108">
        <v>0</v>
      </c>
      <c r="L85" s="108">
        <f t="shared" si="28"/>
        <v>110</v>
      </c>
      <c r="M85" s="108">
        <f t="shared" si="29"/>
        <v>330</v>
      </c>
      <c r="N85" s="236">
        <v>3.5</v>
      </c>
      <c r="O85" s="140">
        <v>3.6</v>
      </c>
    </row>
    <row r="86" spans="1:15" s="234" customFormat="1" ht="24">
      <c r="A86" s="108">
        <f t="shared" si="27"/>
        <v>6</v>
      </c>
      <c r="B86" s="255" t="s">
        <v>157</v>
      </c>
      <c r="C86" s="255" t="s">
        <v>158</v>
      </c>
      <c r="D86" s="235">
        <v>1</v>
      </c>
      <c r="E86" s="108">
        <v>10</v>
      </c>
      <c r="F86" s="235">
        <v>1</v>
      </c>
      <c r="G86" s="235">
        <v>10</v>
      </c>
      <c r="H86" s="108"/>
      <c r="I86" s="108"/>
      <c r="J86" s="108"/>
      <c r="K86" s="108"/>
      <c r="L86" s="108"/>
      <c r="M86" s="108"/>
      <c r="N86" s="236">
        <v>0.4</v>
      </c>
      <c r="O86" s="140"/>
    </row>
    <row r="87" spans="1:15" s="234" customFormat="1">
      <c r="A87" s="108">
        <f t="shared" si="27"/>
        <v>7</v>
      </c>
      <c r="B87" s="255" t="s">
        <v>159</v>
      </c>
      <c r="C87" s="255" t="s">
        <v>160</v>
      </c>
      <c r="D87" s="235">
        <v>1</v>
      </c>
      <c r="E87" s="108">
        <v>20</v>
      </c>
      <c r="F87" s="235">
        <v>2</v>
      </c>
      <c r="G87" s="235">
        <v>40</v>
      </c>
      <c r="H87" s="108"/>
      <c r="I87" s="108"/>
      <c r="J87" s="108"/>
      <c r="K87" s="108"/>
      <c r="L87" s="108"/>
      <c r="M87" s="108"/>
      <c r="N87" s="268">
        <v>0.45</v>
      </c>
      <c r="O87" s="140"/>
    </row>
    <row r="88" spans="1:15">
      <c r="A88" s="287"/>
      <c r="B88" s="288"/>
      <c r="C88" s="289" t="s">
        <v>572</v>
      </c>
      <c r="D88" s="290">
        <f>SUM(D81:D87)</f>
        <v>33</v>
      </c>
      <c r="E88" s="290">
        <f>SUM(E81:E87)</f>
        <v>880</v>
      </c>
      <c r="F88" s="290">
        <f t="shared" ref="F88:M88" si="30">SUM(F81:F87)</f>
        <v>10</v>
      </c>
      <c r="G88" s="290">
        <f t="shared" si="30"/>
        <v>1100</v>
      </c>
      <c r="H88" s="290">
        <f t="shared" si="30"/>
        <v>31</v>
      </c>
      <c r="I88" s="290">
        <f t="shared" si="30"/>
        <v>6</v>
      </c>
      <c r="J88" s="290">
        <f t="shared" si="30"/>
        <v>320</v>
      </c>
      <c r="K88" s="290">
        <f t="shared" si="30"/>
        <v>530</v>
      </c>
      <c r="L88" s="290">
        <f t="shared" si="30"/>
        <v>850</v>
      </c>
      <c r="M88" s="290">
        <f t="shared" si="30"/>
        <v>1070</v>
      </c>
      <c r="N88" s="291">
        <f t="shared" ref="N88" si="31">SUM(N81:N87)</f>
        <v>10.549999999999999</v>
      </c>
      <c r="O88" s="291">
        <f t="shared" ref="O88" si="32">SUM(O81:O87)</f>
        <v>9.58</v>
      </c>
    </row>
    <row r="89" spans="1:15">
      <c r="A89" s="182"/>
      <c r="B89" s="124" t="s">
        <v>466</v>
      </c>
      <c r="C89" s="125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6"/>
      <c r="O89" s="126"/>
    </row>
    <row r="90" spans="1:15">
      <c r="A90" s="182"/>
      <c r="B90" s="127" t="s">
        <v>467</v>
      </c>
      <c r="C90" s="128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</row>
    <row r="91" spans="1:15" s="234" customFormat="1" ht="24">
      <c r="A91" s="108">
        <f>A87+1</f>
        <v>8</v>
      </c>
      <c r="B91" s="255" t="s">
        <v>161</v>
      </c>
      <c r="C91" s="255" t="s">
        <v>162</v>
      </c>
      <c r="D91" s="86">
        <v>90</v>
      </c>
      <c r="E91" s="86">
        <v>20</v>
      </c>
      <c r="F91" s="86">
        <v>1</v>
      </c>
      <c r="G91" s="86">
        <v>1800</v>
      </c>
      <c r="H91" s="86">
        <v>90</v>
      </c>
      <c r="I91" s="86">
        <v>1</v>
      </c>
      <c r="J91" s="86">
        <v>0</v>
      </c>
      <c r="K91" s="86">
        <v>1800</v>
      </c>
      <c r="L91" s="86">
        <v>1800</v>
      </c>
      <c r="M91" s="86">
        <v>1800</v>
      </c>
      <c r="N91" s="148">
        <v>1.25</v>
      </c>
      <c r="O91" s="148">
        <v>1.25</v>
      </c>
    </row>
    <row r="92" spans="1:15" s="234" customFormat="1">
      <c r="A92" s="108">
        <f t="shared" si="27"/>
        <v>9</v>
      </c>
      <c r="B92" s="255" t="s">
        <v>164</v>
      </c>
      <c r="C92" s="255" t="s">
        <v>165</v>
      </c>
      <c r="D92" s="86">
        <v>10</v>
      </c>
      <c r="E92" s="86">
        <v>10</v>
      </c>
      <c r="F92" s="86">
        <v>1</v>
      </c>
      <c r="G92" s="86">
        <v>100</v>
      </c>
      <c r="H92" s="86">
        <v>5</v>
      </c>
      <c r="I92" s="86">
        <v>1</v>
      </c>
      <c r="J92" s="86">
        <v>15</v>
      </c>
      <c r="K92" s="86">
        <v>35</v>
      </c>
      <c r="L92" s="86">
        <v>50</v>
      </c>
      <c r="M92" s="86">
        <v>50</v>
      </c>
      <c r="N92" s="148">
        <v>1</v>
      </c>
      <c r="O92" s="148">
        <v>1</v>
      </c>
    </row>
    <row r="93" spans="1:15" s="80" customFormat="1">
      <c r="A93" s="287"/>
      <c r="B93" s="288"/>
      <c r="C93" s="289" t="s">
        <v>1182</v>
      </c>
      <c r="D93" s="290">
        <f>SUM(D91:D92)</f>
        <v>100</v>
      </c>
      <c r="E93" s="290">
        <f t="shared" ref="E93:O93" si="33">SUM(E91:E92)</f>
        <v>30</v>
      </c>
      <c r="F93" s="290">
        <f t="shared" si="33"/>
        <v>2</v>
      </c>
      <c r="G93" s="290">
        <f t="shared" si="33"/>
        <v>1900</v>
      </c>
      <c r="H93" s="290">
        <f t="shared" si="33"/>
        <v>95</v>
      </c>
      <c r="I93" s="290">
        <f t="shared" si="33"/>
        <v>2</v>
      </c>
      <c r="J93" s="290">
        <f t="shared" si="33"/>
        <v>15</v>
      </c>
      <c r="K93" s="290">
        <f t="shared" si="33"/>
        <v>1835</v>
      </c>
      <c r="L93" s="290">
        <f t="shared" si="33"/>
        <v>1850</v>
      </c>
      <c r="M93" s="290">
        <f t="shared" si="33"/>
        <v>1850</v>
      </c>
      <c r="N93" s="291">
        <f t="shared" si="33"/>
        <v>2.25</v>
      </c>
      <c r="O93" s="291">
        <f t="shared" si="33"/>
        <v>2.25</v>
      </c>
    </row>
    <row r="94" spans="1:15" s="234" customFormat="1">
      <c r="A94" s="108"/>
      <c r="B94" s="127" t="s">
        <v>1181</v>
      </c>
      <c r="C94" s="265"/>
      <c r="D94" s="266"/>
      <c r="E94" s="266"/>
      <c r="F94" s="266"/>
      <c r="G94" s="266"/>
      <c r="H94" s="266"/>
      <c r="I94" s="266"/>
      <c r="J94" s="266"/>
      <c r="K94" s="266"/>
      <c r="L94" s="108"/>
      <c r="M94" s="266"/>
      <c r="N94" s="267"/>
      <c r="O94" s="267"/>
    </row>
    <row r="95" spans="1:15" s="234" customFormat="1" ht="24">
      <c r="A95" s="108">
        <f>A92+1</f>
        <v>10</v>
      </c>
      <c r="B95" s="255" t="s">
        <v>166</v>
      </c>
      <c r="C95" s="255" t="s">
        <v>167</v>
      </c>
      <c r="D95" s="108">
        <v>30</v>
      </c>
      <c r="E95" s="108">
        <v>20</v>
      </c>
      <c r="F95" s="108">
        <v>1</v>
      </c>
      <c r="G95" s="108">
        <v>600</v>
      </c>
      <c r="H95" s="108">
        <v>30</v>
      </c>
      <c r="I95" s="108">
        <v>1</v>
      </c>
      <c r="J95" s="108"/>
      <c r="K95" s="108">
        <v>600</v>
      </c>
      <c r="L95" s="108">
        <v>600</v>
      </c>
      <c r="M95" s="108">
        <v>600</v>
      </c>
      <c r="N95" s="140">
        <v>2.95</v>
      </c>
      <c r="O95" s="140">
        <v>2.95</v>
      </c>
    </row>
    <row r="96" spans="1:15" s="234" customFormat="1">
      <c r="A96" s="108">
        <f t="shared" si="27"/>
        <v>11</v>
      </c>
      <c r="B96" s="255" t="s">
        <v>168</v>
      </c>
      <c r="C96" s="255" t="s">
        <v>165</v>
      </c>
      <c r="D96" s="108">
        <v>4</v>
      </c>
      <c r="E96" s="108">
        <v>20</v>
      </c>
      <c r="F96" s="108">
        <v>1</v>
      </c>
      <c r="G96" s="108">
        <v>80</v>
      </c>
      <c r="H96" s="108">
        <v>4</v>
      </c>
      <c r="I96" s="108">
        <v>1</v>
      </c>
      <c r="J96" s="108">
        <v>80</v>
      </c>
      <c r="K96" s="108"/>
      <c r="L96" s="108">
        <v>80</v>
      </c>
      <c r="M96" s="108">
        <v>80</v>
      </c>
      <c r="N96" s="140">
        <v>1.1499999999999999</v>
      </c>
      <c r="O96" s="140">
        <v>1.1499999999999999</v>
      </c>
    </row>
    <row r="97" spans="1:15" s="80" customFormat="1">
      <c r="A97" s="287"/>
      <c r="B97" s="288"/>
      <c r="C97" s="289" t="s">
        <v>1183</v>
      </c>
      <c r="D97" s="290">
        <f>SUM(D95:D96)</f>
        <v>34</v>
      </c>
      <c r="E97" s="290">
        <f t="shared" ref="E97:O97" si="34">SUM(E95:E96)</f>
        <v>40</v>
      </c>
      <c r="F97" s="290"/>
      <c r="G97" s="290">
        <f t="shared" si="34"/>
        <v>680</v>
      </c>
      <c r="H97" s="290">
        <f t="shared" si="34"/>
        <v>34</v>
      </c>
      <c r="I97" s="290">
        <f t="shared" si="34"/>
        <v>2</v>
      </c>
      <c r="J97" s="290">
        <f t="shared" si="34"/>
        <v>80</v>
      </c>
      <c r="K97" s="290">
        <f t="shared" si="34"/>
        <v>600</v>
      </c>
      <c r="L97" s="290">
        <f t="shared" si="34"/>
        <v>680</v>
      </c>
      <c r="M97" s="290">
        <f t="shared" si="34"/>
        <v>680</v>
      </c>
      <c r="N97" s="291">
        <f t="shared" si="34"/>
        <v>4.0999999999999996</v>
      </c>
      <c r="O97" s="291">
        <f t="shared" si="34"/>
        <v>4.0999999999999996</v>
      </c>
    </row>
    <row r="98" spans="1:15" s="234" customFormat="1">
      <c r="A98" s="108"/>
      <c r="B98" s="127" t="s">
        <v>468</v>
      </c>
      <c r="C98" s="265"/>
      <c r="D98" s="266"/>
      <c r="E98" s="266"/>
      <c r="F98" s="266"/>
      <c r="G98" s="266"/>
      <c r="H98" s="266"/>
      <c r="I98" s="266"/>
      <c r="J98" s="266"/>
      <c r="K98" s="266"/>
      <c r="L98" s="108"/>
      <c r="M98" s="266"/>
      <c r="N98" s="267"/>
      <c r="O98" s="267"/>
    </row>
    <row r="99" spans="1:15" s="234" customFormat="1">
      <c r="A99" s="108">
        <f>A96+1</f>
        <v>12</v>
      </c>
      <c r="B99" s="255" t="s">
        <v>169</v>
      </c>
      <c r="C99" s="255" t="s">
        <v>299</v>
      </c>
      <c r="D99" s="108">
        <v>2</v>
      </c>
      <c r="E99" s="108">
        <v>25</v>
      </c>
      <c r="F99" s="108">
        <v>2</v>
      </c>
      <c r="G99" s="108">
        <v>100</v>
      </c>
      <c r="H99" s="108"/>
      <c r="I99" s="108"/>
      <c r="J99" s="108"/>
      <c r="K99" s="108"/>
      <c r="L99" s="108"/>
      <c r="M99" s="108"/>
      <c r="N99" s="140">
        <v>1.25</v>
      </c>
      <c r="O99" s="140"/>
    </row>
    <row r="100" spans="1:15" s="234" customFormat="1">
      <c r="A100" s="108"/>
      <c r="B100" s="255"/>
      <c r="C100" s="232" t="s">
        <v>573</v>
      </c>
      <c r="D100" s="108">
        <f>SUM(D99)</f>
        <v>2</v>
      </c>
      <c r="E100" s="108">
        <f t="shared" ref="E100:O100" si="35">SUM(E99)</f>
        <v>25</v>
      </c>
      <c r="F100" s="108">
        <f t="shared" si="35"/>
        <v>2</v>
      </c>
      <c r="G100" s="108">
        <f t="shared" si="35"/>
        <v>100</v>
      </c>
      <c r="H100" s="108">
        <f t="shared" si="35"/>
        <v>0</v>
      </c>
      <c r="I100" s="108">
        <f t="shared" si="35"/>
        <v>0</v>
      </c>
      <c r="J100" s="108">
        <f t="shared" si="35"/>
        <v>0</v>
      </c>
      <c r="K100" s="108">
        <f t="shared" si="35"/>
        <v>0</v>
      </c>
      <c r="L100" s="108">
        <f t="shared" si="35"/>
        <v>0</v>
      </c>
      <c r="M100" s="108">
        <f t="shared" si="35"/>
        <v>0</v>
      </c>
      <c r="N100" s="264">
        <f t="shared" si="35"/>
        <v>1.25</v>
      </c>
      <c r="O100" s="264">
        <f t="shared" si="35"/>
        <v>0</v>
      </c>
    </row>
    <row r="101" spans="1:15" s="234" customFormat="1">
      <c r="A101" s="287"/>
      <c r="B101" s="288"/>
      <c r="C101" s="289" t="s">
        <v>1184</v>
      </c>
      <c r="D101" s="290">
        <f>D93+D97+D100</f>
        <v>136</v>
      </c>
      <c r="E101" s="290">
        <f t="shared" ref="E101:O101" si="36">E93+E97+E100</f>
        <v>95</v>
      </c>
      <c r="F101" s="290">
        <f t="shared" si="36"/>
        <v>4</v>
      </c>
      <c r="G101" s="290">
        <f t="shared" si="36"/>
        <v>2680</v>
      </c>
      <c r="H101" s="290">
        <f t="shared" si="36"/>
        <v>129</v>
      </c>
      <c r="I101" s="290"/>
      <c r="J101" s="290">
        <f>J93+J97+J100</f>
        <v>95</v>
      </c>
      <c r="K101" s="290">
        <f>K93+K97+K100</f>
        <v>2435</v>
      </c>
      <c r="L101" s="290">
        <f t="shared" si="36"/>
        <v>2530</v>
      </c>
      <c r="M101" s="290">
        <f t="shared" si="36"/>
        <v>2530</v>
      </c>
      <c r="N101" s="291">
        <f t="shared" si="36"/>
        <v>7.6</v>
      </c>
      <c r="O101" s="291">
        <f t="shared" si="36"/>
        <v>6.35</v>
      </c>
    </row>
    <row r="102" spans="1:15">
      <c r="A102" s="182"/>
      <c r="B102" s="116" t="s">
        <v>469</v>
      </c>
      <c r="C102" s="125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6"/>
      <c r="O102" s="126"/>
    </row>
    <row r="103" spans="1:15">
      <c r="A103" s="182"/>
      <c r="B103" s="130" t="s">
        <v>470</v>
      </c>
      <c r="C103" s="12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</row>
    <row r="104" spans="1:15" s="234" customFormat="1">
      <c r="A104" s="108">
        <f>A99+1</f>
        <v>13</v>
      </c>
      <c r="B104" s="255" t="s">
        <v>170</v>
      </c>
      <c r="C104" s="255" t="s">
        <v>171</v>
      </c>
      <c r="D104" s="108">
        <v>1</v>
      </c>
      <c r="E104" s="108">
        <v>30</v>
      </c>
      <c r="F104" s="108">
        <v>1</v>
      </c>
      <c r="G104" s="86">
        <v>30</v>
      </c>
      <c r="H104" s="108">
        <v>1</v>
      </c>
      <c r="I104" s="108">
        <v>1</v>
      </c>
      <c r="J104" s="108">
        <v>30</v>
      </c>
      <c r="K104" s="108">
        <v>0</v>
      </c>
      <c r="L104" s="108">
        <v>30</v>
      </c>
      <c r="M104" s="108">
        <v>30</v>
      </c>
      <c r="N104" s="140">
        <v>0.5</v>
      </c>
      <c r="O104" s="140">
        <v>0.5</v>
      </c>
    </row>
    <row r="105" spans="1:15" s="234" customFormat="1">
      <c r="A105" s="108">
        <f t="shared" si="27"/>
        <v>14</v>
      </c>
      <c r="B105" s="255" t="s">
        <v>172</v>
      </c>
      <c r="C105" s="255" t="s">
        <v>173</v>
      </c>
      <c r="D105" s="108">
        <v>4</v>
      </c>
      <c r="E105" s="108">
        <v>30</v>
      </c>
      <c r="F105" s="108">
        <v>1</v>
      </c>
      <c r="G105" s="86">
        <v>120</v>
      </c>
      <c r="H105" s="108">
        <v>3</v>
      </c>
      <c r="I105" s="108">
        <v>1</v>
      </c>
      <c r="J105" s="108">
        <v>90</v>
      </c>
      <c r="K105" s="108">
        <v>0</v>
      </c>
      <c r="L105" s="108">
        <v>90</v>
      </c>
      <c r="M105" s="108">
        <v>90</v>
      </c>
      <c r="N105" s="140">
        <v>1.3</v>
      </c>
      <c r="O105" s="140">
        <v>0.95</v>
      </c>
    </row>
    <row r="106" spans="1:15" s="234" customFormat="1" ht="24">
      <c r="A106" s="108">
        <f t="shared" si="27"/>
        <v>15</v>
      </c>
      <c r="B106" s="255" t="s">
        <v>174</v>
      </c>
      <c r="C106" s="255" t="s">
        <v>175</v>
      </c>
      <c r="D106" s="108">
        <v>1</v>
      </c>
      <c r="E106" s="108">
        <v>20</v>
      </c>
      <c r="F106" s="108">
        <v>3</v>
      </c>
      <c r="G106" s="86">
        <v>60</v>
      </c>
      <c r="H106" s="108"/>
      <c r="I106" s="108"/>
      <c r="J106" s="108"/>
      <c r="K106" s="108"/>
      <c r="L106" s="108"/>
      <c r="M106" s="108"/>
      <c r="N106" s="140">
        <v>1.27</v>
      </c>
      <c r="O106" s="140"/>
    </row>
    <row r="107" spans="1:15" s="234" customFormat="1">
      <c r="A107" s="108"/>
      <c r="B107" s="261" t="s">
        <v>471</v>
      </c>
      <c r="C107" s="262"/>
      <c r="D107" s="263"/>
      <c r="E107" s="108"/>
      <c r="F107" s="108"/>
      <c r="G107" s="108"/>
      <c r="H107" s="108"/>
      <c r="I107" s="108"/>
      <c r="J107" s="108"/>
      <c r="K107" s="108"/>
      <c r="L107" s="108"/>
      <c r="M107" s="108"/>
      <c r="N107" s="140"/>
      <c r="O107" s="140"/>
    </row>
    <row r="108" spans="1:15" s="234" customFormat="1">
      <c r="A108" s="108">
        <f>A106+1</f>
        <v>16</v>
      </c>
      <c r="B108" s="255" t="s">
        <v>176</v>
      </c>
      <c r="C108" s="255" t="s">
        <v>177</v>
      </c>
      <c r="D108" s="108">
        <v>75</v>
      </c>
      <c r="E108" s="108">
        <v>20</v>
      </c>
      <c r="F108" s="108">
        <v>3</v>
      </c>
      <c r="G108" s="86">
        <v>4500</v>
      </c>
      <c r="H108" s="108">
        <v>75</v>
      </c>
      <c r="I108" s="108">
        <v>3</v>
      </c>
      <c r="J108" s="108">
        <v>250</v>
      </c>
      <c r="K108" s="108">
        <v>1250</v>
      </c>
      <c r="L108" s="108">
        <v>1500</v>
      </c>
      <c r="M108" s="108">
        <v>4500</v>
      </c>
      <c r="N108" s="140">
        <v>21.65</v>
      </c>
      <c r="O108" s="140">
        <v>21.6</v>
      </c>
    </row>
    <row r="109" spans="1:15" s="234" customFormat="1">
      <c r="A109" s="108">
        <f t="shared" si="27"/>
        <v>17</v>
      </c>
      <c r="B109" s="255" t="s">
        <v>178</v>
      </c>
      <c r="C109" s="255" t="s">
        <v>179</v>
      </c>
      <c r="D109" s="108">
        <v>90</v>
      </c>
      <c r="E109" s="108">
        <v>20</v>
      </c>
      <c r="F109" s="108">
        <v>3</v>
      </c>
      <c r="G109" s="86">
        <v>5400</v>
      </c>
      <c r="H109" s="108">
        <v>90</v>
      </c>
      <c r="I109" s="108">
        <v>3</v>
      </c>
      <c r="J109" s="108">
        <v>350</v>
      </c>
      <c r="K109" s="108">
        <v>1450</v>
      </c>
      <c r="L109" s="108">
        <v>1800</v>
      </c>
      <c r="M109" s="108">
        <v>5400</v>
      </c>
      <c r="N109" s="140">
        <v>26.85</v>
      </c>
      <c r="O109" s="140">
        <v>26.85</v>
      </c>
    </row>
    <row r="110" spans="1:15" s="234" customFormat="1">
      <c r="A110" s="108">
        <f t="shared" si="27"/>
        <v>18</v>
      </c>
      <c r="B110" s="255" t="s">
        <v>180</v>
      </c>
      <c r="C110" s="255" t="s">
        <v>181</v>
      </c>
      <c r="D110" s="108">
        <v>50</v>
      </c>
      <c r="E110" s="108">
        <v>20</v>
      </c>
      <c r="F110" s="108">
        <v>3</v>
      </c>
      <c r="G110" s="86">
        <v>3000</v>
      </c>
      <c r="H110" s="108">
        <v>50</v>
      </c>
      <c r="I110" s="108">
        <v>3</v>
      </c>
      <c r="J110" s="108">
        <v>1000</v>
      </c>
      <c r="K110" s="108">
        <v>0</v>
      </c>
      <c r="L110" s="108">
        <v>1000</v>
      </c>
      <c r="M110" s="108">
        <v>3000</v>
      </c>
      <c r="N110" s="140">
        <v>18.07</v>
      </c>
      <c r="O110" s="140">
        <v>18</v>
      </c>
    </row>
    <row r="111" spans="1:15" s="234" customFormat="1">
      <c r="A111" s="108">
        <f t="shared" si="27"/>
        <v>19</v>
      </c>
      <c r="B111" s="255" t="s">
        <v>182</v>
      </c>
      <c r="C111" s="255" t="s">
        <v>183</v>
      </c>
      <c r="D111" s="108">
        <v>50</v>
      </c>
      <c r="E111" s="108">
        <v>30</v>
      </c>
      <c r="F111" s="108">
        <v>1</v>
      </c>
      <c r="G111" s="86">
        <v>1500</v>
      </c>
      <c r="H111" s="108">
        <v>50</v>
      </c>
      <c r="I111" s="108">
        <v>1</v>
      </c>
      <c r="J111" s="108">
        <v>1500</v>
      </c>
      <c r="K111" s="108">
        <v>0</v>
      </c>
      <c r="L111" s="108">
        <v>1500</v>
      </c>
      <c r="M111" s="108">
        <v>1500</v>
      </c>
      <c r="N111" s="140">
        <v>4.5</v>
      </c>
      <c r="O111" s="140">
        <v>4.5</v>
      </c>
    </row>
    <row r="112" spans="1:15" s="234" customFormat="1">
      <c r="A112" s="108">
        <f t="shared" si="27"/>
        <v>20</v>
      </c>
      <c r="B112" s="255" t="s">
        <v>184</v>
      </c>
      <c r="C112" s="255" t="s">
        <v>185</v>
      </c>
      <c r="D112" s="108">
        <v>8</v>
      </c>
      <c r="E112" s="108">
        <v>10</v>
      </c>
      <c r="F112" s="108">
        <v>3</v>
      </c>
      <c r="G112" s="86">
        <v>240</v>
      </c>
      <c r="H112" s="108">
        <v>8</v>
      </c>
      <c r="I112" s="108">
        <v>3</v>
      </c>
      <c r="J112" s="108">
        <v>80</v>
      </c>
      <c r="K112" s="108">
        <v>0</v>
      </c>
      <c r="L112" s="108">
        <v>80</v>
      </c>
      <c r="M112" s="108">
        <v>240</v>
      </c>
      <c r="N112" s="140">
        <v>2.1</v>
      </c>
      <c r="O112" s="140">
        <v>2</v>
      </c>
    </row>
    <row r="113" spans="1:15" s="234" customFormat="1" ht="15.75" customHeight="1">
      <c r="A113" s="287"/>
      <c r="B113" s="288"/>
      <c r="C113" s="289" t="s">
        <v>1185</v>
      </c>
      <c r="D113" s="290">
        <f>SUM(D104:D112)</f>
        <v>279</v>
      </c>
      <c r="E113" s="290">
        <f>SUM(E104:E112)</f>
        <v>180</v>
      </c>
      <c r="F113" s="290"/>
      <c r="G113" s="290">
        <f>SUM(G104:G112)</f>
        <v>14850</v>
      </c>
      <c r="H113" s="290">
        <f>SUM(H104:H112)</f>
        <v>277</v>
      </c>
      <c r="I113" s="290"/>
      <c r="J113" s="290">
        <f t="shared" ref="J113:O113" si="37">SUM(J104:J112)</f>
        <v>3300</v>
      </c>
      <c r="K113" s="290">
        <f t="shared" si="37"/>
        <v>2700</v>
      </c>
      <c r="L113" s="290">
        <f t="shared" si="37"/>
        <v>6000</v>
      </c>
      <c r="M113" s="290">
        <f t="shared" si="37"/>
        <v>14760</v>
      </c>
      <c r="N113" s="291">
        <f t="shared" si="37"/>
        <v>76.239999999999995</v>
      </c>
      <c r="O113" s="291">
        <f t="shared" si="37"/>
        <v>74.400000000000006</v>
      </c>
    </row>
    <row r="114" spans="1:15" s="80" customFormat="1" ht="14.25" customHeight="1">
      <c r="A114" s="582"/>
      <c r="B114" s="941" t="s">
        <v>1281</v>
      </c>
      <c r="C114" s="941" t="s">
        <v>472</v>
      </c>
      <c r="D114" s="582">
        <f>D113+D101+D88</f>
        <v>448</v>
      </c>
      <c r="E114" s="582">
        <f>E113+E101+E88</f>
        <v>1155</v>
      </c>
      <c r="F114" s="582"/>
      <c r="G114" s="582">
        <f>G113+G101+G88</f>
        <v>18630</v>
      </c>
      <c r="H114" s="582">
        <f>H113+H101+H88</f>
        <v>437</v>
      </c>
      <c r="I114" s="582"/>
      <c r="J114" s="582">
        <f>J113+K101+K93</f>
        <v>7570</v>
      </c>
      <c r="K114" s="582">
        <f>SUM(K88,K101,K113)</f>
        <v>5665</v>
      </c>
      <c r="L114" s="582">
        <f>SUM(L88,L101,L113)</f>
        <v>9380</v>
      </c>
      <c r="M114" s="582">
        <f>SUM(M88,M101,M113)</f>
        <v>18360</v>
      </c>
      <c r="N114" s="583">
        <f>N113+N101+N88</f>
        <v>94.389999999999986</v>
      </c>
      <c r="O114" s="584">
        <f>O113+O101+O88</f>
        <v>90.33</v>
      </c>
    </row>
    <row r="115" spans="1:15" ht="20.25">
      <c r="A115" s="181" t="s">
        <v>25</v>
      </c>
      <c r="B115" s="158"/>
      <c r="C115" s="159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</row>
    <row r="116" spans="1:15">
      <c r="A116" s="188"/>
      <c r="B116" s="950" t="s">
        <v>698</v>
      </c>
      <c r="C116" s="950"/>
      <c r="D116" s="950"/>
      <c r="E116" s="950"/>
      <c r="F116" s="950"/>
      <c r="G116" s="950"/>
      <c r="H116" s="950"/>
      <c r="I116" s="950"/>
      <c r="J116" s="950"/>
      <c r="K116" s="950"/>
      <c r="L116" s="950"/>
      <c r="M116" s="950"/>
      <c r="N116" s="950"/>
      <c r="O116" s="950"/>
    </row>
    <row r="117" spans="1:15" ht="24">
      <c r="A117" s="132">
        <v>1</v>
      </c>
      <c r="B117" s="589" t="s">
        <v>1295</v>
      </c>
      <c r="C117" s="589" t="s">
        <v>1296</v>
      </c>
      <c r="D117" s="590">
        <v>2</v>
      </c>
      <c r="E117" s="590">
        <v>30</v>
      </c>
      <c r="F117" s="590">
        <v>1</v>
      </c>
      <c r="G117" s="590">
        <v>60</v>
      </c>
      <c r="H117" s="590">
        <v>0</v>
      </c>
      <c r="I117" s="590">
        <v>1</v>
      </c>
      <c r="J117" s="590">
        <v>0</v>
      </c>
      <c r="K117" s="590">
        <v>0</v>
      </c>
      <c r="L117" s="590">
        <v>0</v>
      </c>
      <c r="M117" s="590">
        <v>0</v>
      </c>
      <c r="N117" s="591">
        <v>3</v>
      </c>
      <c r="O117" s="590">
        <v>0</v>
      </c>
    </row>
    <row r="118" spans="1:15" ht="24">
      <c r="A118" s="132">
        <f>A117+1</f>
        <v>2</v>
      </c>
      <c r="B118" s="589" t="s">
        <v>109</v>
      </c>
      <c r="C118" s="589" t="s">
        <v>110</v>
      </c>
      <c r="D118" s="590">
        <v>2</v>
      </c>
      <c r="E118" s="590">
        <v>30</v>
      </c>
      <c r="F118" s="590">
        <v>1</v>
      </c>
      <c r="G118" s="590">
        <v>60</v>
      </c>
      <c r="H118" s="590">
        <v>0</v>
      </c>
      <c r="I118" s="590">
        <v>1</v>
      </c>
      <c r="J118" s="590">
        <v>0</v>
      </c>
      <c r="K118" s="590">
        <v>0</v>
      </c>
      <c r="L118" s="590">
        <v>0</v>
      </c>
      <c r="M118" s="590">
        <v>0</v>
      </c>
      <c r="N118" s="591">
        <v>3</v>
      </c>
      <c r="O118" s="590">
        <v>0</v>
      </c>
    </row>
    <row r="119" spans="1:15" ht="24">
      <c r="A119" s="132">
        <f t="shared" ref="A119:A131" si="38">A118+1</f>
        <v>3</v>
      </c>
      <c r="B119" s="589" t="s">
        <v>46</v>
      </c>
      <c r="C119" s="589" t="s">
        <v>91</v>
      </c>
      <c r="D119" s="592">
        <v>10</v>
      </c>
      <c r="E119" s="592">
        <v>30</v>
      </c>
      <c r="F119" s="592">
        <v>3</v>
      </c>
      <c r="G119" s="592">
        <v>900</v>
      </c>
      <c r="H119" s="592">
        <v>19</v>
      </c>
      <c r="I119" s="592">
        <v>3</v>
      </c>
      <c r="J119" s="592">
        <v>357</v>
      </c>
      <c r="K119" s="592">
        <v>171</v>
      </c>
      <c r="L119" s="592">
        <f>K119+J119</f>
        <v>528</v>
      </c>
      <c r="M119" s="592">
        <f>L119*I119</f>
        <v>1584</v>
      </c>
      <c r="N119" s="593">
        <v>25</v>
      </c>
      <c r="O119" s="593">
        <v>32.6</v>
      </c>
    </row>
    <row r="120" spans="1:15" ht="24">
      <c r="A120" s="132">
        <f t="shared" si="38"/>
        <v>4</v>
      </c>
      <c r="B120" s="589" t="s">
        <v>47</v>
      </c>
      <c r="C120" s="589" t="s">
        <v>112</v>
      </c>
      <c r="D120" s="592">
        <v>20</v>
      </c>
      <c r="E120" s="592">
        <v>30</v>
      </c>
      <c r="F120" s="592">
        <v>2</v>
      </c>
      <c r="G120" s="592">
        <v>1200</v>
      </c>
      <c r="H120" s="592">
        <v>20</v>
      </c>
      <c r="I120" s="592">
        <v>2</v>
      </c>
      <c r="J120" s="592">
        <v>355</v>
      </c>
      <c r="K120" s="592">
        <v>158</v>
      </c>
      <c r="L120" s="592">
        <f>K120+J120</f>
        <v>513</v>
      </c>
      <c r="M120" s="592">
        <f>L120*I120</f>
        <v>1026</v>
      </c>
      <c r="N120" s="593">
        <v>38.799999999999997</v>
      </c>
      <c r="O120" s="592">
        <v>28.3</v>
      </c>
    </row>
    <row r="121" spans="1:15" ht="24">
      <c r="A121" s="132">
        <f t="shared" si="38"/>
        <v>5</v>
      </c>
      <c r="B121" s="589" t="s">
        <v>49</v>
      </c>
      <c r="C121" s="589" t="s">
        <v>93</v>
      </c>
      <c r="D121" s="592">
        <v>50</v>
      </c>
      <c r="E121" s="592">
        <v>100</v>
      </c>
      <c r="F121" s="592">
        <v>1</v>
      </c>
      <c r="G121" s="592">
        <f t="shared" ref="G121:G130" si="39">F121*E121*D121</f>
        <v>5000</v>
      </c>
      <c r="H121" s="592">
        <v>30</v>
      </c>
      <c r="I121" s="592">
        <v>1</v>
      </c>
      <c r="J121" s="592">
        <v>2700</v>
      </c>
      <c r="K121" s="592">
        <v>2100</v>
      </c>
      <c r="L121" s="592">
        <f>K121+J121</f>
        <v>4800</v>
      </c>
      <c r="M121" s="592">
        <f>L121*I121</f>
        <v>4800</v>
      </c>
      <c r="N121" s="593">
        <v>8.8000000000000007</v>
      </c>
      <c r="O121" s="592">
        <v>5.39</v>
      </c>
    </row>
    <row r="122" spans="1:15" ht="24">
      <c r="A122" s="132">
        <f t="shared" si="38"/>
        <v>6</v>
      </c>
      <c r="B122" s="589" t="s">
        <v>114</v>
      </c>
      <c r="C122" s="589" t="s">
        <v>115</v>
      </c>
      <c r="D122" s="592">
        <v>8</v>
      </c>
      <c r="E122" s="592">
        <v>30</v>
      </c>
      <c r="F122" s="592">
        <v>2</v>
      </c>
      <c r="G122" s="592">
        <f t="shared" si="39"/>
        <v>480</v>
      </c>
      <c r="H122" s="592">
        <v>9</v>
      </c>
      <c r="I122" s="592">
        <v>2</v>
      </c>
      <c r="J122" s="592">
        <v>228</v>
      </c>
      <c r="K122" s="592">
        <v>8</v>
      </c>
      <c r="L122" s="592">
        <f>K122+J122</f>
        <v>236</v>
      </c>
      <c r="M122" s="592">
        <f>L122*I122</f>
        <v>472</v>
      </c>
      <c r="N122" s="593">
        <v>13</v>
      </c>
      <c r="O122" s="592">
        <v>10.29</v>
      </c>
    </row>
    <row r="123" spans="1:15" ht="24">
      <c r="A123" s="132">
        <f t="shared" si="38"/>
        <v>7</v>
      </c>
      <c r="B123" s="589" t="s">
        <v>50</v>
      </c>
      <c r="C123" s="589" t="s">
        <v>116</v>
      </c>
      <c r="D123" s="592">
        <v>3</v>
      </c>
      <c r="E123" s="592">
        <v>25</v>
      </c>
      <c r="F123" s="592">
        <v>1</v>
      </c>
      <c r="G123" s="592">
        <f t="shared" si="39"/>
        <v>75</v>
      </c>
      <c r="H123" s="592">
        <v>0</v>
      </c>
      <c r="I123" s="592">
        <v>1</v>
      </c>
      <c r="J123" s="592">
        <v>0</v>
      </c>
      <c r="K123" s="592">
        <v>0</v>
      </c>
      <c r="L123" s="592">
        <v>0</v>
      </c>
      <c r="M123" s="592">
        <v>0</v>
      </c>
      <c r="N123" s="593">
        <v>4.2</v>
      </c>
      <c r="O123" s="592">
        <v>0</v>
      </c>
    </row>
    <row r="124" spans="1:15" ht="24">
      <c r="A124" s="132">
        <f t="shared" si="38"/>
        <v>8</v>
      </c>
      <c r="B124" s="589" t="s">
        <v>117</v>
      </c>
      <c r="C124" s="589" t="s">
        <v>118</v>
      </c>
      <c r="D124" s="592">
        <v>2</v>
      </c>
      <c r="E124" s="592">
        <v>30</v>
      </c>
      <c r="F124" s="592">
        <v>2</v>
      </c>
      <c r="G124" s="592">
        <f t="shared" si="39"/>
        <v>120</v>
      </c>
      <c r="H124" s="592">
        <v>3</v>
      </c>
      <c r="I124" s="592">
        <v>2</v>
      </c>
      <c r="J124" s="592">
        <v>65</v>
      </c>
      <c r="K124" s="592">
        <v>11</v>
      </c>
      <c r="L124" s="592">
        <f>K124+J124</f>
        <v>76</v>
      </c>
      <c r="M124" s="592">
        <f>L124*I124</f>
        <v>152</v>
      </c>
      <c r="N124" s="593">
        <v>3.6</v>
      </c>
      <c r="O124" s="592">
        <v>4.3099999999999996</v>
      </c>
    </row>
    <row r="125" spans="1:15" ht="24">
      <c r="A125" s="132">
        <f t="shared" si="38"/>
        <v>9</v>
      </c>
      <c r="B125" s="589" t="s">
        <v>45</v>
      </c>
      <c r="C125" s="589" t="s">
        <v>120</v>
      </c>
      <c r="D125" s="592">
        <v>1</v>
      </c>
      <c r="E125" s="592">
        <v>30</v>
      </c>
      <c r="F125" s="592">
        <v>1</v>
      </c>
      <c r="G125" s="592">
        <f t="shared" si="39"/>
        <v>30</v>
      </c>
      <c r="H125" s="592">
        <v>0</v>
      </c>
      <c r="I125" s="592">
        <v>0</v>
      </c>
      <c r="J125" s="592">
        <v>0</v>
      </c>
      <c r="K125" s="592">
        <v>0</v>
      </c>
      <c r="L125" s="592">
        <v>0</v>
      </c>
      <c r="M125" s="592">
        <v>0</v>
      </c>
      <c r="N125" s="592">
        <v>2.16</v>
      </c>
      <c r="O125" s="592">
        <v>0</v>
      </c>
    </row>
    <row r="126" spans="1:15">
      <c r="A126" s="132">
        <f t="shared" si="38"/>
        <v>10</v>
      </c>
      <c r="B126" s="589" t="s">
        <v>122</v>
      </c>
      <c r="C126" s="589" t="s">
        <v>123</v>
      </c>
      <c r="D126" s="592">
        <v>30</v>
      </c>
      <c r="E126" s="592">
        <v>40</v>
      </c>
      <c r="F126" s="592">
        <v>1</v>
      </c>
      <c r="G126" s="592">
        <f t="shared" si="39"/>
        <v>1200</v>
      </c>
      <c r="H126" s="592">
        <v>0</v>
      </c>
      <c r="I126" s="592">
        <v>0</v>
      </c>
      <c r="J126" s="592">
        <v>0</v>
      </c>
      <c r="K126" s="592">
        <v>0</v>
      </c>
      <c r="L126" s="592">
        <v>0</v>
      </c>
      <c r="M126" s="592">
        <v>0</v>
      </c>
      <c r="N126" s="593">
        <v>15</v>
      </c>
      <c r="O126" s="592">
        <v>0</v>
      </c>
    </row>
    <row r="127" spans="1:15" ht="36">
      <c r="A127" s="132">
        <f t="shared" si="38"/>
        <v>11</v>
      </c>
      <c r="B127" s="589" t="s">
        <v>48</v>
      </c>
      <c r="C127" s="589" t="s">
        <v>124</v>
      </c>
      <c r="D127" s="592">
        <v>30</v>
      </c>
      <c r="E127" s="592">
        <v>36</v>
      </c>
      <c r="F127" s="592">
        <v>2</v>
      </c>
      <c r="G127" s="592">
        <f t="shared" si="39"/>
        <v>2160</v>
      </c>
      <c r="H127" s="592">
        <v>37</v>
      </c>
      <c r="I127" s="592">
        <v>2</v>
      </c>
      <c r="J127" s="592">
        <v>979</v>
      </c>
      <c r="K127" s="592">
        <v>393</v>
      </c>
      <c r="L127" s="592">
        <f>K127+J127</f>
        <v>1372</v>
      </c>
      <c r="M127" s="592">
        <f>L127*I127</f>
        <v>2744</v>
      </c>
      <c r="N127" s="593">
        <v>54</v>
      </c>
      <c r="O127" s="592">
        <v>53.65</v>
      </c>
    </row>
    <row r="128" spans="1:15" ht="24">
      <c r="A128" s="132">
        <f t="shared" si="38"/>
        <v>12</v>
      </c>
      <c r="B128" s="589" t="s">
        <v>1297</v>
      </c>
      <c r="C128" s="589" t="s">
        <v>1298</v>
      </c>
      <c r="D128" s="592">
        <v>1</v>
      </c>
      <c r="E128" s="592">
        <v>30</v>
      </c>
      <c r="F128" s="592">
        <v>1</v>
      </c>
      <c r="G128" s="592">
        <f t="shared" si="39"/>
        <v>30</v>
      </c>
      <c r="H128" s="592">
        <v>0</v>
      </c>
      <c r="I128" s="592">
        <v>0</v>
      </c>
      <c r="J128" s="592">
        <v>0</v>
      </c>
      <c r="K128" s="592">
        <v>0</v>
      </c>
      <c r="L128" s="592">
        <v>0</v>
      </c>
      <c r="M128" s="592">
        <v>0</v>
      </c>
      <c r="N128" s="593">
        <v>0.9</v>
      </c>
      <c r="O128" s="592">
        <v>0</v>
      </c>
    </row>
    <row r="129" spans="1:15" ht="24">
      <c r="A129" s="132">
        <f t="shared" si="38"/>
        <v>13</v>
      </c>
      <c r="B129" s="589" t="s">
        <v>125</v>
      </c>
      <c r="C129" s="589" t="s">
        <v>126</v>
      </c>
      <c r="D129" s="592">
        <v>7</v>
      </c>
      <c r="E129" s="592">
        <v>30</v>
      </c>
      <c r="F129" s="592">
        <v>2</v>
      </c>
      <c r="G129" s="592">
        <f t="shared" si="39"/>
        <v>420</v>
      </c>
      <c r="H129" s="592">
        <v>9</v>
      </c>
      <c r="I129" s="592">
        <v>2</v>
      </c>
      <c r="J129" s="594">
        <v>162</v>
      </c>
      <c r="K129" s="594">
        <v>78</v>
      </c>
      <c r="L129" s="592">
        <f>K129+J129</f>
        <v>240</v>
      </c>
      <c r="M129" s="592">
        <f>L129*I129</f>
        <v>480</v>
      </c>
      <c r="N129" s="593">
        <v>13</v>
      </c>
      <c r="O129" s="592">
        <v>11.18</v>
      </c>
    </row>
    <row r="130" spans="1:15" ht="24">
      <c r="A130" s="132">
        <f t="shared" si="38"/>
        <v>14</v>
      </c>
      <c r="B130" s="589" t="s">
        <v>1299</v>
      </c>
      <c r="C130" s="589" t="s">
        <v>1300</v>
      </c>
      <c r="D130" s="592">
        <v>0</v>
      </c>
      <c r="E130" s="592">
        <v>0</v>
      </c>
      <c r="F130" s="592">
        <v>0</v>
      </c>
      <c r="G130" s="592">
        <f t="shared" si="39"/>
        <v>0</v>
      </c>
      <c r="H130" s="592">
        <v>2</v>
      </c>
      <c r="I130" s="592">
        <v>1</v>
      </c>
      <c r="J130" s="592">
        <v>65</v>
      </c>
      <c r="K130" s="592">
        <v>7</v>
      </c>
      <c r="L130" s="592">
        <v>72</v>
      </c>
      <c r="M130" s="592">
        <v>72</v>
      </c>
      <c r="N130" s="593">
        <v>0</v>
      </c>
      <c r="O130" s="592">
        <v>2.5499999999999998</v>
      </c>
    </row>
    <row r="131" spans="1:15" ht="24">
      <c r="A131" s="132">
        <f t="shared" si="38"/>
        <v>15</v>
      </c>
      <c r="B131" s="589" t="s">
        <v>128</v>
      </c>
      <c r="C131" s="589" t="s">
        <v>370</v>
      </c>
      <c r="D131" s="592"/>
      <c r="E131" s="592"/>
      <c r="F131" s="592"/>
      <c r="G131" s="592"/>
      <c r="H131" s="592"/>
      <c r="I131" s="595"/>
      <c r="J131" s="609">
        <v>12</v>
      </c>
      <c r="K131" s="609">
        <v>12</v>
      </c>
      <c r="L131" s="609">
        <v>12</v>
      </c>
      <c r="M131" s="609">
        <v>144</v>
      </c>
      <c r="N131" s="593">
        <v>66</v>
      </c>
      <c r="O131" s="592">
        <v>38.35</v>
      </c>
    </row>
    <row r="132" spans="1:15">
      <c r="A132" s="134"/>
      <c r="B132" s="945" t="s">
        <v>209</v>
      </c>
      <c r="C132" s="945"/>
      <c r="D132" s="135">
        <f>SUM(D117:D131)</f>
        <v>166</v>
      </c>
      <c r="E132" s="135">
        <f>SUM(E117:E131)</f>
        <v>471</v>
      </c>
      <c r="F132" s="135"/>
      <c r="G132" s="135">
        <f>SUM(G117:G131)</f>
        <v>11735</v>
      </c>
      <c r="H132" s="135">
        <f>SUM(H117:H131)</f>
        <v>129</v>
      </c>
      <c r="I132" s="135"/>
      <c r="J132" s="135">
        <f t="shared" ref="J132:O132" si="40">SUM(J117:J131)</f>
        <v>4923</v>
      </c>
      <c r="K132" s="135">
        <f t="shared" si="40"/>
        <v>2938</v>
      </c>
      <c r="L132" s="135">
        <f t="shared" si="40"/>
        <v>7849</v>
      </c>
      <c r="M132" s="135">
        <f t="shared" si="40"/>
        <v>11474</v>
      </c>
      <c r="N132" s="136">
        <f t="shared" si="40"/>
        <v>250.46</v>
      </c>
      <c r="O132" s="136">
        <f t="shared" si="40"/>
        <v>186.62000000000003</v>
      </c>
    </row>
    <row r="133" spans="1:15">
      <c r="A133" s="131"/>
      <c r="B133" s="946" t="s">
        <v>697</v>
      </c>
      <c r="C133" s="946"/>
      <c r="D133" s="946"/>
      <c r="E133" s="946"/>
      <c r="F133" s="946"/>
      <c r="G133" s="946"/>
      <c r="H133" s="946"/>
      <c r="I133" s="946"/>
      <c r="J133" s="946"/>
      <c r="K133" s="946"/>
      <c r="L133" s="946"/>
      <c r="M133" s="946"/>
      <c r="N133" s="946"/>
      <c r="O133" s="946"/>
    </row>
    <row r="134" spans="1:15" ht="24">
      <c r="A134" s="596">
        <v>16</v>
      </c>
      <c r="B134" s="589" t="s">
        <v>52</v>
      </c>
      <c r="C134" s="589" t="s">
        <v>17</v>
      </c>
      <c r="D134" s="597">
        <v>3</v>
      </c>
      <c r="E134" s="597">
        <v>25</v>
      </c>
      <c r="F134" s="597">
        <v>3</v>
      </c>
      <c r="G134" s="597">
        <f t="shared" ref="G134:G143" si="41">F134*E134*D134</f>
        <v>225</v>
      </c>
      <c r="H134" s="597">
        <v>3</v>
      </c>
      <c r="I134" s="597">
        <v>3</v>
      </c>
      <c r="J134" s="598">
        <v>83</v>
      </c>
      <c r="K134" s="599">
        <v>0</v>
      </c>
      <c r="L134" s="598">
        <f>K134+J134</f>
        <v>83</v>
      </c>
      <c r="M134" s="592">
        <f>L134*I134</f>
        <v>249</v>
      </c>
      <c r="N134" s="593">
        <v>9.6</v>
      </c>
      <c r="O134" s="592">
        <v>6.36</v>
      </c>
    </row>
    <row r="135" spans="1:15">
      <c r="A135" s="600">
        <v>17</v>
      </c>
      <c r="B135" s="601" t="s">
        <v>53</v>
      </c>
      <c r="C135" s="589" t="s">
        <v>335</v>
      </c>
      <c r="D135" s="597">
        <v>2</v>
      </c>
      <c r="E135" s="597">
        <v>20</v>
      </c>
      <c r="F135" s="597">
        <v>2</v>
      </c>
      <c r="G135" s="597">
        <f t="shared" si="41"/>
        <v>80</v>
      </c>
      <c r="H135" s="597">
        <v>2</v>
      </c>
      <c r="I135" s="597">
        <v>2</v>
      </c>
      <c r="J135" s="598">
        <v>38</v>
      </c>
      <c r="K135" s="599">
        <v>0</v>
      </c>
      <c r="L135" s="598">
        <f>K135+J135</f>
        <v>38</v>
      </c>
      <c r="M135" s="602">
        <f>L135*I135</f>
        <v>76</v>
      </c>
      <c r="N135" s="603">
        <v>4</v>
      </c>
      <c r="O135" s="602">
        <v>2.97</v>
      </c>
    </row>
    <row r="136" spans="1:15" ht="36">
      <c r="A136" s="604"/>
      <c r="B136" s="601"/>
      <c r="C136" s="589" t="s">
        <v>1301</v>
      </c>
      <c r="D136" s="597">
        <v>2</v>
      </c>
      <c r="E136" s="597">
        <v>20</v>
      </c>
      <c r="F136" s="597">
        <v>2</v>
      </c>
      <c r="G136" s="597">
        <f t="shared" si="41"/>
        <v>80</v>
      </c>
      <c r="H136" s="597">
        <v>0</v>
      </c>
      <c r="I136" s="597">
        <v>0</v>
      </c>
      <c r="J136" s="598">
        <v>0</v>
      </c>
      <c r="K136" s="599">
        <v>0</v>
      </c>
      <c r="L136" s="597">
        <v>0</v>
      </c>
      <c r="M136" s="592">
        <v>0</v>
      </c>
      <c r="N136" s="593">
        <v>4.5</v>
      </c>
      <c r="O136" s="592">
        <v>0</v>
      </c>
    </row>
    <row r="137" spans="1:15" ht="24">
      <c r="A137" s="605">
        <v>18</v>
      </c>
      <c r="B137" s="589" t="s">
        <v>54</v>
      </c>
      <c r="C137" s="589" t="s">
        <v>1302</v>
      </c>
      <c r="D137" s="597">
        <v>3</v>
      </c>
      <c r="E137" s="597">
        <v>25</v>
      </c>
      <c r="F137" s="597">
        <v>2</v>
      </c>
      <c r="G137" s="597">
        <f t="shared" si="41"/>
        <v>150</v>
      </c>
      <c r="H137" s="597">
        <v>3</v>
      </c>
      <c r="I137" s="597">
        <v>4</v>
      </c>
      <c r="J137" s="598">
        <v>73</v>
      </c>
      <c r="K137" s="599">
        <v>0</v>
      </c>
      <c r="L137" s="598">
        <f>K137+J137</f>
        <v>73</v>
      </c>
      <c r="M137" s="592">
        <f>L137*I137</f>
        <v>292</v>
      </c>
      <c r="N137" s="593">
        <v>4.8</v>
      </c>
      <c r="O137" s="592">
        <v>6.87</v>
      </c>
    </row>
    <row r="138" spans="1:15" ht="24">
      <c r="A138" s="590">
        <v>19</v>
      </c>
      <c r="B138" s="589" t="s">
        <v>55</v>
      </c>
      <c r="C138" s="589" t="s">
        <v>1303</v>
      </c>
      <c r="D138" s="597">
        <v>2</v>
      </c>
      <c r="E138" s="597">
        <v>30</v>
      </c>
      <c r="F138" s="597">
        <v>1</v>
      </c>
      <c r="G138" s="597">
        <f t="shared" si="41"/>
        <v>60</v>
      </c>
      <c r="H138" s="597">
        <v>0</v>
      </c>
      <c r="I138" s="597">
        <v>0</v>
      </c>
      <c r="J138" s="598">
        <v>0</v>
      </c>
      <c r="K138" s="599">
        <v>0</v>
      </c>
      <c r="L138" s="597">
        <v>0</v>
      </c>
      <c r="M138" s="592">
        <v>0</v>
      </c>
      <c r="N138" s="593">
        <v>3.8</v>
      </c>
      <c r="O138" s="592">
        <v>0</v>
      </c>
    </row>
    <row r="139" spans="1:15">
      <c r="A139" s="597">
        <v>20</v>
      </c>
      <c r="B139" s="589" t="s">
        <v>130</v>
      </c>
      <c r="C139" s="589" t="s">
        <v>131</v>
      </c>
      <c r="D139" s="597">
        <v>4</v>
      </c>
      <c r="E139" s="597">
        <v>20</v>
      </c>
      <c r="F139" s="597">
        <v>2</v>
      </c>
      <c r="G139" s="597">
        <f t="shared" si="41"/>
        <v>160</v>
      </c>
      <c r="H139" s="597">
        <v>3</v>
      </c>
      <c r="I139" s="597">
        <v>3</v>
      </c>
      <c r="J139" s="598">
        <v>42</v>
      </c>
      <c r="K139" s="599">
        <v>0</v>
      </c>
      <c r="L139" s="598">
        <f>K139+J139</f>
        <v>42</v>
      </c>
      <c r="M139" s="602">
        <f>L139*I139</f>
        <v>126</v>
      </c>
      <c r="N139" s="603">
        <v>6</v>
      </c>
      <c r="O139" s="602">
        <v>5.72</v>
      </c>
    </row>
    <row r="140" spans="1:15" ht="24">
      <c r="A140" s="590">
        <v>21</v>
      </c>
      <c r="B140" s="589" t="s">
        <v>56</v>
      </c>
      <c r="C140" s="589" t="s">
        <v>1304</v>
      </c>
      <c r="D140" s="597">
        <v>80</v>
      </c>
      <c r="E140" s="597">
        <v>100</v>
      </c>
      <c r="F140" s="597">
        <v>1</v>
      </c>
      <c r="G140" s="597">
        <f t="shared" si="41"/>
        <v>8000</v>
      </c>
      <c r="H140" s="597">
        <v>298</v>
      </c>
      <c r="I140" s="597">
        <v>1</v>
      </c>
      <c r="J140" s="606">
        <v>9348</v>
      </c>
      <c r="K140" s="607">
        <v>5586</v>
      </c>
      <c r="L140" s="830">
        <f>J140+K140</f>
        <v>14934</v>
      </c>
      <c r="M140" s="608">
        <v>14934</v>
      </c>
      <c r="N140" s="647">
        <v>25</v>
      </c>
      <c r="O140" s="609">
        <v>57.85</v>
      </c>
    </row>
    <row r="141" spans="1:15" ht="24">
      <c r="A141" s="597">
        <v>22</v>
      </c>
      <c r="B141" s="589" t="s">
        <v>58</v>
      </c>
      <c r="C141" s="589" t="s">
        <v>1305</v>
      </c>
      <c r="D141" s="597">
        <v>15</v>
      </c>
      <c r="E141" s="597">
        <v>28</v>
      </c>
      <c r="F141" s="597">
        <v>1</v>
      </c>
      <c r="G141" s="597">
        <f t="shared" si="41"/>
        <v>420</v>
      </c>
      <c r="H141" s="599">
        <v>7</v>
      </c>
      <c r="I141" s="597">
        <v>1</v>
      </c>
      <c r="J141" s="598">
        <v>161</v>
      </c>
      <c r="K141" s="597">
        <v>51</v>
      </c>
      <c r="L141" s="598">
        <f>K141+J141</f>
        <v>212</v>
      </c>
      <c r="M141" s="592">
        <v>212</v>
      </c>
      <c r="N141" s="593">
        <v>9.6</v>
      </c>
      <c r="O141" s="592">
        <v>7.42</v>
      </c>
    </row>
    <row r="142" spans="1:15">
      <c r="A142" s="590">
        <v>23</v>
      </c>
      <c r="B142" s="589" t="s">
        <v>1306</v>
      </c>
      <c r="C142" s="589" t="s">
        <v>1307</v>
      </c>
      <c r="D142" s="597">
        <v>1</v>
      </c>
      <c r="E142" s="597">
        <v>20</v>
      </c>
      <c r="F142" s="597">
        <v>5</v>
      </c>
      <c r="G142" s="597">
        <f t="shared" si="41"/>
        <v>100</v>
      </c>
      <c r="H142" s="597">
        <v>1</v>
      </c>
      <c r="I142" s="597">
        <v>5</v>
      </c>
      <c r="J142" s="598">
        <v>20</v>
      </c>
      <c r="K142" s="597">
        <v>2</v>
      </c>
      <c r="L142" s="598">
        <f>K142+J142</f>
        <v>22</v>
      </c>
      <c r="M142" s="592">
        <v>100</v>
      </c>
      <c r="N142" s="603">
        <v>4</v>
      </c>
      <c r="O142" s="603">
        <v>2.4900000000000002</v>
      </c>
    </row>
    <row r="143" spans="1:15">
      <c r="A143" s="597">
        <v>24</v>
      </c>
      <c r="B143" s="589" t="s">
        <v>355</v>
      </c>
      <c r="C143" s="589" t="s">
        <v>1308</v>
      </c>
      <c r="D143" s="597">
        <v>1</v>
      </c>
      <c r="E143" s="597">
        <v>20</v>
      </c>
      <c r="F143" s="597">
        <v>11</v>
      </c>
      <c r="G143" s="597">
        <f t="shared" si="41"/>
        <v>220</v>
      </c>
      <c r="H143" s="597">
        <v>0</v>
      </c>
      <c r="I143" s="597">
        <v>0</v>
      </c>
      <c r="J143" s="598">
        <v>0</v>
      </c>
      <c r="K143" s="610">
        <v>0</v>
      </c>
      <c r="L143" s="610">
        <v>0</v>
      </c>
      <c r="M143" s="602">
        <v>0</v>
      </c>
      <c r="N143" s="603">
        <v>8.8000000000000007</v>
      </c>
      <c r="O143" s="602">
        <v>0</v>
      </c>
    </row>
    <row r="144" spans="1:15">
      <c r="A144" s="134"/>
      <c r="B144" s="945" t="s">
        <v>209</v>
      </c>
      <c r="C144" s="945"/>
      <c r="D144" s="135">
        <f>SUM(D134:D143)</f>
        <v>113</v>
      </c>
      <c r="E144" s="135">
        <f>SUM(E134:E143)</f>
        <v>308</v>
      </c>
      <c r="F144" s="135"/>
      <c r="G144" s="135">
        <f>SUM(G141:G143)</f>
        <v>740</v>
      </c>
      <c r="H144" s="135">
        <f>SUM(H134:H143)</f>
        <v>317</v>
      </c>
      <c r="I144" s="135"/>
      <c r="J144" s="688">
        <f t="shared" ref="J144:O144" si="42">SUM(J134:J143)</f>
        <v>9765</v>
      </c>
      <c r="K144" s="135">
        <f t="shared" si="42"/>
        <v>5639</v>
      </c>
      <c r="L144" s="688">
        <f t="shared" si="42"/>
        <v>15404</v>
      </c>
      <c r="M144" s="135">
        <f t="shared" si="42"/>
        <v>15989</v>
      </c>
      <c r="N144" s="136">
        <f t="shared" si="42"/>
        <v>80.099999999999994</v>
      </c>
      <c r="O144" s="136">
        <f t="shared" si="42"/>
        <v>89.679999999999993</v>
      </c>
    </row>
    <row r="145" spans="1:15">
      <c r="A145" s="131"/>
      <c r="B145" s="946" t="s">
        <v>696</v>
      </c>
      <c r="C145" s="946"/>
      <c r="D145" s="946"/>
      <c r="E145" s="946"/>
      <c r="F145" s="946"/>
      <c r="G145" s="946"/>
      <c r="H145" s="946"/>
      <c r="I145" s="946"/>
      <c r="J145" s="946"/>
      <c r="K145" s="946"/>
      <c r="L145" s="946"/>
      <c r="M145" s="946"/>
      <c r="N145" s="946"/>
      <c r="O145" s="946"/>
    </row>
    <row r="146" spans="1:15">
      <c r="A146" s="132">
        <f>A143+1</f>
        <v>25</v>
      </c>
      <c r="B146" s="611" t="s">
        <v>60</v>
      </c>
      <c r="C146" s="611" t="s">
        <v>1309</v>
      </c>
      <c r="D146" s="605">
        <v>4</v>
      </c>
      <c r="E146" s="605">
        <v>25</v>
      </c>
      <c r="F146" s="605">
        <v>2</v>
      </c>
      <c r="G146" s="605">
        <f t="shared" ref="G146:G153" si="43">F146*E146*D146</f>
        <v>200</v>
      </c>
      <c r="H146" s="605">
        <v>0</v>
      </c>
      <c r="I146" s="605">
        <v>0</v>
      </c>
      <c r="J146" s="612">
        <v>0</v>
      </c>
      <c r="K146" s="613">
        <v>0</v>
      </c>
      <c r="L146" s="605">
        <v>0</v>
      </c>
      <c r="M146" s="614">
        <v>0</v>
      </c>
      <c r="N146" s="615">
        <v>7</v>
      </c>
      <c r="O146" s="616">
        <v>0</v>
      </c>
    </row>
    <row r="147" spans="1:15" ht="24">
      <c r="A147" s="132">
        <f>A146+1</f>
        <v>26</v>
      </c>
      <c r="B147" s="589" t="s">
        <v>1310</v>
      </c>
      <c r="C147" s="589" t="s">
        <v>1311</v>
      </c>
      <c r="D147" s="597">
        <v>2</v>
      </c>
      <c r="E147" s="597">
        <v>30</v>
      </c>
      <c r="F147" s="597">
        <v>1</v>
      </c>
      <c r="G147" s="605">
        <f t="shared" si="43"/>
        <v>60</v>
      </c>
      <c r="H147" s="597">
        <v>0</v>
      </c>
      <c r="I147" s="597">
        <v>0</v>
      </c>
      <c r="J147" s="598">
        <v>0</v>
      </c>
      <c r="K147" s="599">
        <v>0</v>
      </c>
      <c r="L147" s="597">
        <v>0</v>
      </c>
      <c r="M147" s="602">
        <v>0</v>
      </c>
      <c r="N147" s="603">
        <v>3</v>
      </c>
      <c r="O147" s="602">
        <v>0</v>
      </c>
    </row>
    <row r="148" spans="1:15" ht="24">
      <c r="A148" s="132">
        <f t="shared" ref="A148:A153" si="44">A147+1</f>
        <v>27</v>
      </c>
      <c r="B148" s="589" t="s">
        <v>61</v>
      </c>
      <c r="C148" s="589" t="s">
        <v>1312</v>
      </c>
      <c r="D148" s="597">
        <v>5</v>
      </c>
      <c r="E148" s="597">
        <v>30</v>
      </c>
      <c r="F148" s="597">
        <v>2</v>
      </c>
      <c r="G148" s="605">
        <f t="shared" si="43"/>
        <v>300</v>
      </c>
      <c r="H148" s="597">
        <v>0</v>
      </c>
      <c r="I148" s="597">
        <v>0</v>
      </c>
      <c r="J148" s="598">
        <v>0</v>
      </c>
      <c r="K148" s="599">
        <v>0</v>
      </c>
      <c r="L148" s="597">
        <v>0</v>
      </c>
      <c r="M148" s="602">
        <v>0</v>
      </c>
      <c r="N148" s="603">
        <v>9.5</v>
      </c>
      <c r="O148" s="602">
        <v>0</v>
      </c>
    </row>
    <row r="149" spans="1:15" ht="24">
      <c r="A149" s="132">
        <f t="shared" si="44"/>
        <v>28</v>
      </c>
      <c r="B149" s="589" t="s">
        <v>63</v>
      </c>
      <c r="C149" s="589" t="s">
        <v>1313</v>
      </c>
      <c r="D149" s="597">
        <v>6</v>
      </c>
      <c r="E149" s="597">
        <v>30</v>
      </c>
      <c r="F149" s="597">
        <v>2</v>
      </c>
      <c r="G149" s="605">
        <f t="shared" si="43"/>
        <v>360</v>
      </c>
      <c r="H149" s="597">
        <v>4</v>
      </c>
      <c r="I149" s="597">
        <v>2</v>
      </c>
      <c r="J149" s="598">
        <v>66</v>
      </c>
      <c r="K149" s="599">
        <v>44</v>
      </c>
      <c r="L149" s="598">
        <f>K149+J149</f>
        <v>110</v>
      </c>
      <c r="M149" s="609">
        <f>L149*I149</f>
        <v>220</v>
      </c>
      <c r="N149" s="603">
        <v>7.2</v>
      </c>
      <c r="O149" s="603">
        <v>5.5</v>
      </c>
    </row>
    <row r="150" spans="1:15" ht="24">
      <c r="A150" s="132">
        <f t="shared" si="44"/>
        <v>29</v>
      </c>
      <c r="B150" s="589" t="s">
        <v>62</v>
      </c>
      <c r="C150" s="589" t="s">
        <v>1314</v>
      </c>
      <c r="D150" s="597">
        <v>15</v>
      </c>
      <c r="E150" s="597">
        <v>30</v>
      </c>
      <c r="F150" s="597">
        <v>1</v>
      </c>
      <c r="G150" s="597">
        <f t="shared" si="43"/>
        <v>450</v>
      </c>
      <c r="H150" s="597">
        <v>0</v>
      </c>
      <c r="I150" s="597">
        <v>0</v>
      </c>
      <c r="J150" s="598">
        <v>0</v>
      </c>
      <c r="K150" s="599">
        <v>0</v>
      </c>
      <c r="L150" s="597">
        <v>0</v>
      </c>
      <c r="M150" s="609">
        <f t="shared" ref="M150:M153" si="45">L150*I150</f>
        <v>0</v>
      </c>
      <c r="N150" s="592">
        <v>3.75</v>
      </c>
      <c r="O150" s="592">
        <v>0</v>
      </c>
    </row>
    <row r="151" spans="1:15" ht="24">
      <c r="A151" s="132">
        <f t="shared" si="44"/>
        <v>30</v>
      </c>
      <c r="B151" s="589" t="s">
        <v>1315</v>
      </c>
      <c r="C151" s="589" t="s">
        <v>1316</v>
      </c>
      <c r="D151" s="597">
        <v>8</v>
      </c>
      <c r="E151" s="597">
        <v>25</v>
      </c>
      <c r="F151" s="597">
        <v>2</v>
      </c>
      <c r="G151" s="597">
        <f t="shared" si="43"/>
        <v>400</v>
      </c>
      <c r="H151" s="597">
        <v>0</v>
      </c>
      <c r="I151" s="597">
        <v>0</v>
      </c>
      <c r="J151" s="598">
        <v>0</v>
      </c>
      <c r="K151" s="599">
        <v>0</v>
      </c>
      <c r="L151" s="597">
        <v>0</v>
      </c>
      <c r="M151" s="609">
        <f t="shared" si="45"/>
        <v>0</v>
      </c>
      <c r="N151" s="593">
        <v>9.6</v>
      </c>
      <c r="O151" s="592">
        <v>0</v>
      </c>
    </row>
    <row r="152" spans="1:15" ht="24">
      <c r="A152" s="132">
        <f t="shared" si="44"/>
        <v>31</v>
      </c>
      <c r="B152" s="589" t="s">
        <v>1317</v>
      </c>
      <c r="C152" s="589" t="s">
        <v>1318</v>
      </c>
      <c r="D152" s="597">
        <v>8</v>
      </c>
      <c r="E152" s="597">
        <v>25</v>
      </c>
      <c r="F152" s="597">
        <v>2</v>
      </c>
      <c r="G152" s="597">
        <f t="shared" si="43"/>
        <v>400</v>
      </c>
      <c r="H152" s="597">
        <v>0</v>
      </c>
      <c r="I152" s="597">
        <v>0</v>
      </c>
      <c r="J152" s="598">
        <v>0</v>
      </c>
      <c r="K152" s="599">
        <v>0</v>
      </c>
      <c r="L152" s="597">
        <v>0</v>
      </c>
      <c r="M152" s="609">
        <f t="shared" si="45"/>
        <v>0</v>
      </c>
      <c r="N152" s="593">
        <v>9.6</v>
      </c>
      <c r="O152" s="592">
        <v>0</v>
      </c>
    </row>
    <row r="153" spans="1:15" ht="24">
      <c r="A153" s="132">
        <f t="shared" si="44"/>
        <v>32</v>
      </c>
      <c r="B153" s="617" t="s">
        <v>64</v>
      </c>
      <c r="C153" s="617" t="s">
        <v>133</v>
      </c>
      <c r="D153" s="600">
        <v>10</v>
      </c>
      <c r="E153" s="600">
        <v>25</v>
      </c>
      <c r="F153" s="600">
        <v>2</v>
      </c>
      <c r="G153" s="600">
        <f t="shared" si="43"/>
        <v>500</v>
      </c>
      <c r="H153" s="600">
        <v>2</v>
      </c>
      <c r="I153" s="600">
        <v>2</v>
      </c>
      <c r="J153" s="618">
        <v>36</v>
      </c>
      <c r="K153" s="619">
        <v>18</v>
      </c>
      <c r="L153" s="598">
        <f>K153+J153</f>
        <v>54</v>
      </c>
      <c r="M153" s="609">
        <f t="shared" si="45"/>
        <v>108</v>
      </c>
      <c r="N153" s="620">
        <v>12</v>
      </c>
      <c r="O153" s="620">
        <v>2.93</v>
      </c>
    </row>
    <row r="154" spans="1:15">
      <c r="A154" s="134"/>
      <c r="B154" s="945" t="s">
        <v>209</v>
      </c>
      <c r="C154" s="945"/>
      <c r="D154" s="135">
        <f>SUM(D146:D153)</f>
        <v>58</v>
      </c>
      <c r="E154" s="587">
        <f t="shared" ref="E154:G154" si="46">SUM(E146:E153)</f>
        <v>220</v>
      </c>
      <c r="F154" s="587"/>
      <c r="G154" s="587">
        <f t="shared" si="46"/>
        <v>2670</v>
      </c>
      <c r="H154" s="135">
        <f>SUM(H146:H153)</f>
        <v>6</v>
      </c>
      <c r="I154" s="135"/>
      <c r="J154" s="135">
        <f t="shared" ref="J154:O154" si="47">SUM(J146:J153)</f>
        <v>102</v>
      </c>
      <c r="K154" s="135">
        <f t="shared" si="47"/>
        <v>62</v>
      </c>
      <c r="L154" s="135">
        <f t="shared" si="47"/>
        <v>164</v>
      </c>
      <c r="M154" s="135">
        <f t="shared" si="47"/>
        <v>328</v>
      </c>
      <c r="N154" s="136">
        <f t="shared" si="47"/>
        <v>61.65</v>
      </c>
      <c r="O154" s="136">
        <f t="shared" si="47"/>
        <v>8.43</v>
      </c>
    </row>
    <row r="155" spans="1:15">
      <c r="A155" s="131"/>
      <c r="B155" s="946" t="s">
        <v>695</v>
      </c>
      <c r="C155" s="946"/>
      <c r="D155" s="946"/>
      <c r="E155" s="946"/>
      <c r="F155" s="946"/>
      <c r="G155" s="946"/>
      <c r="H155" s="946"/>
      <c r="I155" s="946"/>
      <c r="J155" s="946"/>
      <c r="K155" s="946"/>
      <c r="L155" s="946"/>
      <c r="M155" s="946"/>
      <c r="N155" s="946"/>
      <c r="O155" s="946"/>
    </row>
    <row r="156" spans="1:15" ht="24">
      <c r="A156" s="133">
        <f>A153+1</f>
        <v>33</v>
      </c>
      <c r="B156" s="621" t="s">
        <v>134</v>
      </c>
      <c r="C156" s="621" t="s">
        <v>1319</v>
      </c>
      <c r="D156" s="622">
        <v>10</v>
      </c>
      <c r="E156" s="622">
        <v>30</v>
      </c>
      <c r="F156" s="622">
        <v>1</v>
      </c>
      <c r="G156" s="622">
        <f t="shared" ref="G156:G166" si="48">F156*E156*D156</f>
        <v>300</v>
      </c>
      <c r="H156" s="623">
        <v>10</v>
      </c>
      <c r="I156" s="623">
        <v>1</v>
      </c>
      <c r="J156" s="624">
        <v>260</v>
      </c>
      <c r="K156" s="625">
        <v>2</v>
      </c>
      <c r="L156" s="626" t="s">
        <v>1320</v>
      </c>
      <c r="M156" s="627" t="s">
        <v>1320</v>
      </c>
      <c r="N156" s="628">
        <v>6</v>
      </c>
      <c r="O156" s="629">
        <v>5.99</v>
      </c>
    </row>
    <row r="157" spans="1:15" ht="24">
      <c r="A157" s="133">
        <f>1+A156</f>
        <v>34</v>
      </c>
      <c r="B157" s="621" t="s">
        <v>66</v>
      </c>
      <c r="C157" s="630" t="s">
        <v>1321</v>
      </c>
      <c r="D157" s="622">
        <v>1</v>
      </c>
      <c r="E157" s="623">
        <v>30</v>
      </c>
      <c r="F157" s="623">
        <v>1</v>
      </c>
      <c r="G157" s="622">
        <f t="shared" si="48"/>
        <v>30</v>
      </c>
      <c r="H157" s="623">
        <v>0</v>
      </c>
      <c r="I157" s="623">
        <v>0</v>
      </c>
      <c r="J157" s="631">
        <v>0</v>
      </c>
      <c r="K157" s="632">
        <v>0</v>
      </c>
      <c r="L157" s="632">
        <v>0</v>
      </c>
      <c r="M157" s="633">
        <v>0</v>
      </c>
      <c r="N157" s="628">
        <v>1.2</v>
      </c>
      <c r="O157" s="629">
        <v>0</v>
      </c>
    </row>
    <row r="158" spans="1:15" ht="24">
      <c r="A158" s="133">
        <f t="shared" ref="A158:A166" si="49">1+A157</f>
        <v>35</v>
      </c>
      <c r="B158" s="621" t="s">
        <v>1058</v>
      </c>
      <c r="C158" s="630" t="s">
        <v>1322</v>
      </c>
      <c r="D158" s="622">
        <v>0</v>
      </c>
      <c r="E158" s="623">
        <v>0</v>
      </c>
      <c r="F158" s="623">
        <v>0</v>
      </c>
      <c r="G158" s="622">
        <v>0</v>
      </c>
      <c r="H158" s="623">
        <v>9</v>
      </c>
      <c r="I158" s="623">
        <v>3</v>
      </c>
      <c r="J158" s="631">
        <v>107</v>
      </c>
      <c r="K158" s="632">
        <v>88</v>
      </c>
      <c r="L158" s="632">
        <v>195</v>
      </c>
      <c r="M158" s="633">
        <f>L158*I158</f>
        <v>585</v>
      </c>
      <c r="N158" s="628">
        <v>0</v>
      </c>
      <c r="O158" s="629">
        <v>18.98</v>
      </c>
    </row>
    <row r="159" spans="1:15" ht="24">
      <c r="A159" s="133">
        <f t="shared" si="49"/>
        <v>36</v>
      </c>
      <c r="B159" s="621" t="s">
        <v>1058</v>
      </c>
      <c r="C159" s="630" t="s">
        <v>1323</v>
      </c>
      <c r="D159" s="622">
        <v>0</v>
      </c>
      <c r="E159" s="623">
        <v>0</v>
      </c>
      <c r="F159" s="623">
        <v>0</v>
      </c>
      <c r="G159" s="622">
        <v>0</v>
      </c>
      <c r="H159" s="623">
        <v>10</v>
      </c>
      <c r="I159" s="623">
        <v>2</v>
      </c>
      <c r="J159" s="631">
        <v>140</v>
      </c>
      <c r="K159" s="632">
        <v>80</v>
      </c>
      <c r="L159" s="632">
        <v>220</v>
      </c>
      <c r="M159" s="633">
        <f>L159*I159</f>
        <v>440</v>
      </c>
      <c r="N159" s="628">
        <v>0</v>
      </c>
      <c r="O159" s="629">
        <v>13.77</v>
      </c>
    </row>
    <row r="160" spans="1:15" ht="24">
      <c r="A160" s="133">
        <f t="shared" si="49"/>
        <v>37</v>
      </c>
      <c r="B160" s="621" t="s">
        <v>67</v>
      </c>
      <c r="C160" s="634" t="s">
        <v>68</v>
      </c>
      <c r="D160" s="635">
        <v>30</v>
      </c>
      <c r="E160" s="623">
        <v>25</v>
      </c>
      <c r="F160" s="623">
        <v>15</v>
      </c>
      <c r="G160" s="622">
        <f t="shared" si="48"/>
        <v>11250</v>
      </c>
      <c r="H160" s="623">
        <v>30</v>
      </c>
      <c r="I160" s="623">
        <v>20</v>
      </c>
      <c r="J160" s="631">
        <v>510</v>
      </c>
      <c r="K160" s="625">
        <v>240</v>
      </c>
      <c r="L160" s="632">
        <v>750</v>
      </c>
      <c r="M160" s="636">
        <v>15000</v>
      </c>
      <c r="N160" s="603">
        <v>18</v>
      </c>
      <c r="O160" s="602">
        <v>19.59</v>
      </c>
    </row>
    <row r="161" spans="1:15" ht="24">
      <c r="A161" s="133">
        <f t="shared" si="49"/>
        <v>38</v>
      </c>
      <c r="B161" s="621" t="s">
        <v>69</v>
      </c>
      <c r="C161" s="634" t="s">
        <v>1324</v>
      </c>
      <c r="D161" s="622">
        <v>10</v>
      </c>
      <c r="E161" s="623">
        <v>30</v>
      </c>
      <c r="F161" s="623">
        <v>3</v>
      </c>
      <c r="G161" s="622">
        <f t="shared" si="48"/>
        <v>900</v>
      </c>
      <c r="H161" s="623">
        <v>20</v>
      </c>
      <c r="I161" s="623">
        <v>3</v>
      </c>
      <c r="J161" s="631">
        <v>352</v>
      </c>
      <c r="K161" s="632">
        <v>128</v>
      </c>
      <c r="L161" s="632">
        <v>480</v>
      </c>
      <c r="M161" s="637">
        <v>1440</v>
      </c>
      <c r="N161" s="628">
        <v>19</v>
      </c>
      <c r="O161" s="629">
        <v>35.979999999999997</v>
      </c>
    </row>
    <row r="162" spans="1:15" ht="36">
      <c r="A162" s="133">
        <f t="shared" si="49"/>
        <v>39</v>
      </c>
      <c r="B162" s="621" t="s">
        <v>70</v>
      </c>
      <c r="C162" s="634" t="s">
        <v>1325</v>
      </c>
      <c r="D162" s="622">
        <v>30</v>
      </c>
      <c r="E162" s="623">
        <v>25</v>
      </c>
      <c r="F162" s="623">
        <v>2</v>
      </c>
      <c r="G162" s="623">
        <f t="shared" si="48"/>
        <v>1500</v>
      </c>
      <c r="H162" s="623">
        <v>20</v>
      </c>
      <c r="I162" s="623">
        <v>2</v>
      </c>
      <c r="J162" s="631">
        <v>340</v>
      </c>
      <c r="K162" s="625">
        <v>160</v>
      </c>
      <c r="L162" s="632">
        <v>500</v>
      </c>
      <c r="M162" s="638">
        <f>L162*I162</f>
        <v>1000</v>
      </c>
      <c r="N162" s="628">
        <v>6.6</v>
      </c>
      <c r="O162" s="629">
        <v>7.54</v>
      </c>
    </row>
    <row r="163" spans="1:15" ht="36">
      <c r="A163" s="133">
        <f t="shared" si="49"/>
        <v>40</v>
      </c>
      <c r="B163" s="639" t="s">
        <v>70</v>
      </c>
      <c r="C163" s="621" t="s">
        <v>1326</v>
      </c>
      <c r="D163" s="622">
        <v>0</v>
      </c>
      <c r="E163" s="623">
        <v>0</v>
      </c>
      <c r="F163" s="623">
        <v>0</v>
      </c>
      <c r="G163" s="623">
        <v>0</v>
      </c>
      <c r="H163" s="623">
        <v>1</v>
      </c>
      <c r="I163" s="623">
        <v>1</v>
      </c>
      <c r="J163" s="631">
        <v>26</v>
      </c>
      <c r="K163" s="625">
        <v>4</v>
      </c>
      <c r="L163" s="632">
        <v>30</v>
      </c>
      <c r="M163" s="633">
        <v>30</v>
      </c>
      <c r="N163" s="628">
        <v>0</v>
      </c>
      <c r="O163" s="629">
        <v>0.68500000000000005</v>
      </c>
    </row>
    <row r="164" spans="1:15" ht="24">
      <c r="A164" s="133">
        <f t="shared" si="49"/>
        <v>41</v>
      </c>
      <c r="B164" s="639" t="s">
        <v>71</v>
      </c>
      <c r="C164" s="621" t="s">
        <v>1327</v>
      </c>
      <c r="D164" s="622">
        <v>30</v>
      </c>
      <c r="E164" s="623">
        <v>25</v>
      </c>
      <c r="F164" s="623">
        <v>1</v>
      </c>
      <c r="G164" s="623">
        <f t="shared" si="48"/>
        <v>750</v>
      </c>
      <c r="H164" s="623">
        <v>30</v>
      </c>
      <c r="I164" s="623">
        <v>1</v>
      </c>
      <c r="J164" s="631">
        <v>510</v>
      </c>
      <c r="K164" s="625">
        <v>240</v>
      </c>
      <c r="L164" s="632">
        <v>750</v>
      </c>
      <c r="M164" s="633">
        <f>L164*I164</f>
        <v>750</v>
      </c>
      <c r="N164" s="628">
        <v>3.6</v>
      </c>
      <c r="O164" s="628">
        <v>3.57</v>
      </c>
    </row>
    <row r="165" spans="1:15" ht="36">
      <c r="A165" s="133">
        <f t="shared" si="49"/>
        <v>42</v>
      </c>
      <c r="B165" s="639" t="s">
        <v>473</v>
      </c>
      <c r="C165" s="621" t="s">
        <v>1328</v>
      </c>
      <c r="D165" s="622">
        <v>0</v>
      </c>
      <c r="E165" s="623">
        <v>0</v>
      </c>
      <c r="F165" s="623">
        <v>0</v>
      </c>
      <c r="G165" s="623">
        <v>0</v>
      </c>
      <c r="H165" s="623">
        <v>30</v>
      </c>
      <c r="I165" s="623">
        <v>2</v>
      </c>
      <c r="J165" s="631">
        <v>510</v>
      </c>
      <c r="K165" s="625">
        <v>240</v>
      </c>
      <c r="L165" s="632">
        <v>750</v>
      </c>
      <c r="M165" s="633">
        <f>L165*I165</f>
        <v>1500</v>
      </c>
      <c r="N165" s="628">
        <v>0</v>
      </c>
      <c r="O165" s="629">
        <v>6.15</v>
      </c>
    </row>
    <row r="166" spans="1:15" ht="24">
      <c r="A166" s="133">
        <f t="shared" si="49"/>
        <v>43</v>
      </c>
      <c r="B166" s="639" t="s">
        <v>137</v>
      </c>
      <c r="C166" s="634" t="s">
        <v>1329</v>
      </c>
      <c r="D166" s="622">
        <v>30</v>
      </c>
      <c r="E166" s="623">
        <v>25</v>
      </c>
      <c r="F166" s="623">
        <v>1</v>
      </c>
      <c r="G166" s="623">
        <f t="shared" si="48"/>
        <v>750</v>
      </c>
      <c r="H166" s="623">
        <v>30</v>
      </c>
      <c r="I166" s="623">
        <v>1</v>
      </c>
      <c r="J166" s="631">
        <v>510</v>
      </c>
      <c r="K166" s="625">
        <v>240</v>
      </c>
      <c r="L166" s="632">
        <v>750</v>
      </c>
      <c r="M166" s="633">
        <v>750</v>
      </c>
      <c r="N166" s="628">
        <v>4.2</v>
      </c>
      <c r="O166" s="628">
        <v>4.2</v>
      </c>
    </row>
    <row r="167" spans="1:15">
      <c r="A167" s="134"/>
      <c r="B167" s="945" t="s">
        <v>209</v>
      </c>
      <c r="C167" s="945"/>
      <c r="D167" s="135">
        <f>SUM(D156:D166)</f>
        <v>141</v>
      </c>
      <c r="E167" s="587">
        <f t="shared" ref="E167:G167" si="50">SUM(E156:E166)</f>
        <v>190</v>
      </c>
      <c r="F167" s="587"/>
      <c r="G167" s="587">
        <f t="shared" si="50"/>
        <v>15480</v>
      </c>
      <c r="H167" s="135">
        <f>SUM(H156:H166)</f>
        <v>190</v>
      </c>
      <c r="I167" s="587"/>
      <c r="J167" s="587">
        <f t="shared" ref="J167:O167" si="51">SUM(J156:J166)</f>
        <v>3265</v>
      </c>
      <c r="K167" s="587">
        <f t="shared" si="51"/>
        <v>1422</v>
      </c>
      <c r="L167" s="587">
        <f t="shared" si="51"/>
        <v>4425</v>
      </c>
      <c r="M167" s="587">
        <f t="shared" si="51"/>
        <v>21495</v>
      </c>
      <c r="N167" s="587">
        <f t="shared" si="51"/>
        <v>58.600000000000009</v>
      </c>
      <c r="O167" s="689">
        <f t="shared" si="51"/>
        <v>116.45500000000001</v>
      </c>
    </row>
    <row r="168" spans="1:15">
      <c r="A168" s="131"/>
      <c r="B168" s="946" t="s">
        <v>694</v>
      </c>
      <c r="C168" s="946"/>
      <c r="D168" s="946"/>
      <c r="E168" s="946"/>
      <c r="F168" s="946"/>
      <c r="G168" s="946"/>
      <c r="H168" s="946"/>
      <c r="I168" s="946"/>
      <c r="J168" s="946"/>
      <c r="K168" s="946"/>
      <c r="L168" s="946"/>
      <c r="M168" s="946"/>
      <c r="N168" s="946"/>
      <c r="O168" s="946"/>
    </row>
    <row r="169" spans="1:15" ht="36">
      <c r="A169" s="132">
        <f>A166+1</f>
        <v>44</v>
      </c>
      <c r="B169" s="640" t="s">
        <v>138</v>
      </c>
      <c r="C169" s="640" t="s">
        <v>1330</v>
      </c>
      <c r="D169" s="641">
        <v>10</v>
      </c>
      <c r="E169" s="642">
        <v>30</v>
      </c>
      <c r="F169" s="642">
        <v>2</v>
      </c>
      <c r="G169" s="642">
        <f>F169*E169*D169</f>
        <v>600</v>
      </c>
      <c r="H169" s="642">
        <v>15</v>
      </c>
      <c r="I169" s="642">
        <v>2</v>
      </c>
      <c r="J169" s="642">
        <v>359</v>
      </c>
      <c r="K169" s="642">
        <v>90</v>
      </c>
      <c r="L169" s="642">
        <v>449</v>
      </c>
      <c r="M169" s="642">
        <v>898</v>
      </c>
      <c r="N169" s="643">
        <v>20</v>
      </c>
      <c r="O169" s="660">
        <v>25.79</v>
      </c>
    </row>
    <row r="170" spans="1:15" ht="36">
      <c r="A170" s="132">
        <f>A169+1</f>
        <v>45</v>
      </c>
      <c r="B170" s="644" t="s">
        <v>1331</v>
      </c>
      <c r="C170" s="644" t="s">
        <v>1332</v>
      </c>
      <c r="D170" s="645">
        <v>2</v>
      </c>
      <c r="E170" s="646">
        <v>30</v>
      </c>
      <c r="F170" s="646">
        <v>1</v>
      </c>
      <c r="G170" s="646">
        <f>F170*E170*D170</f>
        <v>60</v>
      </c>
      <c r="H170" s="646">
        <v>0</v>
      </c>
      <c r="I170" s="646">
        <v>0</v>
      </c>
      <c r="J170" s="646">
        <v>0</v>
      </c>
      <c r="K170" s="646">
        <v>0</v>
      </c>
      <c r="L170" s="646">
        <v>0</v>
      </c>
      <c r="M170" s="646">
        <v>0</v>
      </c>
      <c r="N170" s="647">
        <v>3.5</v>
      </c>
      <c r="O170" s="609">
        <v>0</v>
      </c>
    </row>
    <row r="171" spans="1:15" ht="84">
      <c r="A171" s="132">
        <f t="shared" ref="A171:A173" si="52">A170+1</f>
        <v>46</v>
      </c>
      <c r="B171" s="644" t="s">
        <v>1333</v>
      </c>
      <c r="C171" s="644" t="s">
        <v>1334</v>
      </c>
      <c r="D171" s="645">
        <v>30</v>
      </c>
      <c r="E171" s="646">
        <v>30</v>
      </c>
      <c r="F171" s="646">
        <v>3</v>
      </c>
      <c r="G171" s="646">
        <f>F171*E171*D171</f>
        <v>2700</v>
      </c>
      <c r="H171" s="646">
        <v>37</v>
      </c>
      <c r="I171" s="646">
        <v>3</v>
      </c>
      <c r="J171" s="648">
        <v>740</v>
      </c>
      <c r="K171" s="646">
        <v>370</v>
      </c>
      <c r="L171" s="649">
        <f>K171+J171</f>
        <v>1110</v>
      </c>
      <c r="M171" s="650">
        <f>L171*I171</f>
        <v>3330</v>
      </c>
      <c r="N171" s="647">
        <v>67.5</v>
      </c>
      <c r="O171" s="628">
        <v>73.099999999999994</v>
      </c>
    </row>
    <row r="172" spans="1:15" ht="24">
      <c r="A172" s="132">
        <f t="shared" si="52"/>
        <v>47</v>
      </c>
      <c r="B172" s="651" t="s">
        <v>1335</v>
      </c>
      <c r="C172" s="644" t="s">
        <v>98</v>
      </c>
      <c r="D172" s="652">
        <v>5</v>
      </c>
      <c r="E172" s="646">
        <v>30</v>
      </c>
      <c r="F172" s="646">
        <v>1</v>
      </c>
      <c r="G172" s="646">
        <f>F172*E172*D172</f>
        <v>150</v>
      </c>
      <c r="H172" s="646">
        <v>7</v>
      </c>
      <c r="I172" s="646">
        <v>1</v>
      </c>
      <c r="J172" s="653">
        <v>40</v>
      </c>
      <c r="K172" s="654">
        <v>20</v>
      </c>
      <c r="L172" s="655">
        <f>K172+J172</f>
        <v>60</v>
      </c>
      <c r="M172" s="650">
        <f>L172*I172</f>
        <v>60</v>
      </c>
      <c r="N172" s="603">
        <v>2.5</v>
      </c>
      <c r="O172" s="602">
        <v>1.91</v>
      </c>
    </row>
    <row r="173" spans="1:15" ht="48">
      <c r="A173" s="132">
        <f t="shared" si="52"/>
        <v>48</v>
      </c>
      <c r="B173" s="644" t="s">
        <v>139</v>
      </c>
      <c r="C173" s="644" t="s">
        <v>1336</v>
      </c>
      <c r="D173" s="645">
        <v>2</v>
      </c>
      <c r="E173" s="656">
        <v>30</v>
      </c>
      <c r="F173" s="646">
        <v>7</v>
      </c>
      <c r="G173" s="646">
        <f>F173*E173*D173</f>
        <v>420</v>
      </c>
      <c r="H173" s="646">
        <v>2</v>
      </c>
      <c r="I173" s="646">
        <v>7</v>
      </c>
      <c r="J173" s="657">
        <v>54</v>
      </c>
      <c r="K173" s="646">
        <v>6</v>
      </c>
      <c r="L173" s="658">
        <f>K173+J173</f>
        <v>60</v>
      </c>
      <c r="M173" s="659">
        <f>L173*I173</f>
        <v>420</v>
      </c>
      <c r="N173" s="647">
        <v>8</v>
      </c>
      <c r="O173" s="629">
        <v>7.2</v>
      </c>
    </row>
    <row r="174" spans="1:15">
      <c r="A174" s="134"/>
      <c r="B174" s="945" t="s">
        <v>209</v>
      </c>
      <c r="C174" s="945"/>
      <c r="D174" s="135">
        <f>SUM(D169:D173)</f>
        <v>49</v>
      </c>
      <c r="E174" s="587">
        <f t="shared" ref="E174:O174" si="53">SUM(E169:E173)</f>
        <v>150</v>
      </c>
      <c r="F174" s="587"/>
      <c r="G174" s="587">
        <f t="shared" si="53"/>
        <v>3930</v>
      </c>
      <c r="H174" s="587">
        <f t="shared" si="53"/>
        <v>61</v>
      </c>
      <c r="I174" s="587"/>
      <c r="J174" s="587">
        <f t="shared" si="53"/>
        <v>1193</v>
      </c>
      <c r="K174" s="587">
        <f t="shared" si="53"/>
        <v>486</v>
      </c>
      <c r="L174" s="587">
        <f t="shared" si="53"/>
        <v>1679</v>
      </c>
      <c r="M174" s="587">
        <f t="shared" si="53"/>
        <v>4708</v>
      </c>
      <c r="N174" s="587">
        <f t="shared" si="53"/>
        <v>101.5</v>
      </c>
      <c r="O174" s="689">
        <f t="shared" si="53"/>
        <v>107.99999999999999</v>
      </c>
    </row>
    <row r="175" spans="1:15">
      <c r="A175" s="131"/>
      <c r="B175" s="946" t="s">
        <v>693</v>
      </c>
      <c r="C175" s="946"/>
      <c r="D175" s="946"/>
      <c r="E175" s="946"/>
      <c r="F175" s="946"/>
      <c r="G175" s="946"/>
      <c r="H175" s="946"/>
      <c r="I175" s="946"/>
      <c r="J175" s="946"/>
      <c r="K175" s="946"/>
      <c r="L175" s="946"/>
      <c r="M175" s="946"/>
      <c r="N175" s="946"/>
      <c r="O175" s="946"/>
    </row>
    <row r="176" spans="1:15" s="661" customFormat="1" ht="36">
      <c r="A176" s="133">
        <f>A173+1</f>
        <v>49</v>
      </c>
      <c r="B176" s="662" t="s">
        <v>1337</v>
      </c>
      <c r="C176" s="663" t="s">
        <v>1338</v>
      </c>
      <c r="D176" s="664">
        <v>4</v>
      </c>
      <c r="E176" s="665">
        <v>25</v>
      </c>
      <c r="F176" s="665">
        <v>1</v>
      </c>
      <c r="G176" s="665">
        <f t="shared" ref="G176:G184" si="54">F176*E176*D176</f>
        <v>100</v>
      </c>
      <c r="H176" s="665">
        <v>0</v>
      </c>
      <c r="I176" s="665">
        <v>0</v>
      </c>
      <c r="J176" s="666">
        <v>0</v>
      </c>
      <c r="K176" s="664">
        <v>0</v>
      </c>
      <c r="L176" s="667">
        <v>0</v>
      </c>
      <c r="M176" s="629">
        <v>0</v>
      </c>
      <c r="N176" s="647">
        <v>3</v>
      </c>
      <c r="O176" s="628">
        <v>0</v>
      </c>
    </row>
    <row r="177" spans="1:15" s="661" customFormat="1" ht="36">
      <c r="A177" s="133">
        <f>A176+1</f>
        <v>50</v>
      </c>
      <c r="B177" s="668" t="s">
        <v>1339</v>
      </c>
      <c r="C177" s="669" t="s">
        <v>1340</v>
      </c>
      <c r="D177" s="664">
        <v>6</v>
      </c>
      <c r="E177" s="665">
        <v>25</v>
      </c>
      <c r="F177" s="665">
        <v>1</v>
      </c>
      <c r="G177" s="665">
        <f t="shared" si="54"/>
        <v>150</v>
      </c>
      <c r="H177" s="665">
        <v>3</v>
      </c>
      <c r="I177" s="665">
        <v>1</v>
      </c>
      <c r="J177" s="666">
        <v>71</v>
      </c>
      <c r="K177" s="667">
        <v>4</v>
      </c>
      <c r="L177" s="667">
        <v>75</v>
      </c>
      <c r="M177" s="629">
        <v>75</v>
      </c>
      <c r="N177" s="628">
        <v>4.5</v>
      </c>
      <c r="O177" s="628">
        <v>2.5299999999999998</v>
      </c>
    </row>
    <row r="178" spans="1:15" s="661" customFormat="1" ht="36">
      <c r="A178" s="133">
        <f t="shared" ref="A178:A184" si="55">A177+1</f>
        <v>51</v>
      </c>
      <c r="B178" s="668" t="s">
        <v>1341</v>
      </c>
      <c r="C178" s="670" t="s">
        <v>1342</v>
      </c>
      <c r="D178" s="664">
        <v>2</v>
      </c>
      <c r="E178" s="665">
        <v>30</v>
      </c>
      <c r="F178" s="665">
        <v>2</v>
      </c>
      <c r="G178" s="665">
        <f t="shared" si="54"/>
        <v>120</v>
      </c>
      <c r="H178" s="665">
        <v>1</v>
      </c>
      <c r="I178" s="665">
        <v>3</v>
      </c>
      <c r="J178" s="666">
        <v>22</v>
      </c>
      <c r="K178" s="667">
        <v>0</v>
      </c>
      <c r="L178" s="667">
        <v>22</v>
      </c>
      <c r="M178" s="629">
        <f>L178*I178</f>
        <v>66</v>
      </c>
      <c r="N178" s="628">
        <v>3.6</v>
      </c>
      <c r="O178" s="629">
        <v>3.14</v>
      </c>
    </row>
    <row r="179" spans="1:15" s="661" customFormat="1" ht="36">
      <c r="A179" s="133"/>
      <c r="B179" s="671"/>
      <c r="C179" s="670" t="s">
        <v>1343</v>
      </c>
      <c r="D179" s="664">
        <v>2</v>
      </c>
      <c r="E179" s="665">
        <v>30</v>
      </c>
      <c r="F179" s="665">
        <v>2</v>
      </c>
      <c r="G179" s="665">
        <f t="shared" si="54"/>
        <v>120</v>
      </c>
      <c r="H179" s="665">
        <v>0</v>
      </c>
      <c r="I179" s="665">
        <v>0</v>
      </c>
      <c r="J179" s="666">
        <v>0</v>
      </c>
      <c r="K179" s="664">
        <v>0</v>
      </c>
      <c r="L179" s="667">
        <v>0</v>
      </c>
      <c r="M179" s="629">
        <v>0</v>
      </c>
      <c r="N179" s="628">
        <v>3.6</v>
      </c>
      <c r="O179" s="629">
        <v>0</v>
      </c>
    </row>
    <row r="180" spans="1:15" s="661" customFormat="1" ht="36">
      <c r="A180" s="133"/>
      <c r="B180" s="671"/>
      <c r="C180" s="672" t="s">
        <v>1344</v>
      </c>
      <c r="D180" s="664">
        <v>2</v>
      </c>
      <c r="E180" s="665">
        <v>30</v>
      </c>
      <c r="F180" s="665">
        <v>2</v>
      </c>
      <c r="G180" s="665">
        <f t="shared" si="54"/>
        <v>120</v>
      </c>
      <c r="H180" s="665">
        <v>0</v>
      </c>
      <c r="I180" s="665">
        <v>0</v>
      </c>
      <c r="J180" s="666">
        <v>0</v>
      </c>
      <c r="K180" s="664">
        <v>0</v>
      </c>
      <c r="L180" s="667">
        <v>0</v>
      </c>
      <c r="M180" s="629">
        <v>0</v>
      </c>
      <c r="N180" s="628">
        <v>3.6</v>
      </c>
      <c r="O180" s="629">
        <v>0</v>
      </c>
    </row>
    <row r="181" spans="1:15" s="661" customFormat="1" ht="36">
      <c r="A181" s="133"/>
      <c r="B181" s="673"/>
      <c r="C181" s="672" t="s">
        <v>1345</v>
      </c>
      <c r="D181" s="664">
        <v>2</v>
      </c>
      <c r="E181" s="665">
        <v>30</v>
      </c>
      <c r="F181" s="665">
        <v>2</v>
      </c>
      <c r="G181" s="665">
        <f t="shared" si="54"/>
        <v>120</v>
      </c>
      <c r="H181" s="665">
        <v>0</v>
      </c>
      <c r="I181" s="665">
        <v>0</v>
      </c>
      <c r="J181" s="666">
        <v>0</v>
      </c>
      <c r="K181" s="664">
        <v>0</v>
      </c>
      <c r="L181" s="667">
        <v>0</v>
      </c>
      <c r="M181" s="629">
        <v>0</v>
      </c>
      <c r="N181" s="629">
        <v>3.6</v>
      </c>
      <c r="O181" s="629">
        <v>0</v>
      </c>
    </row>
    <row r="182" spans="1:15" s="661" customFormat="1" ht="36">
      <c r="A182" s="133">
        <f>A178+1</f>
        <v>52</v>
      </c>
      <c r="B182" s="674" t="s">
        <v>1346</v>
      </c>
      <c r="C182" s="662" t="s">
        <v>1347</v>
      </c>
      <c r="D182" s="665">
        <v>5</v>
      </c>
      <c r="E182" s="665">
        <v>30</v>
      </c>
      <c r="F182" s="665">
        <v>2</v>
      </c>
      <c r="G182" s="665">
        <f t="shared" si="54"/>
        <v>300</v>
      </c>
      <c r="H182" s="665">
        <v>0</v>
      </c>
      <c r="I182" s="665">
        <v>0</v>
      </c>
      <c r="J182" s="666">
        <v>0</v>
      </c>
      <c r="K182" s="664">
        <v>0</v>
      </c>
      <c r="L182" s="667">
        <v>0</v>
      </c>
      <c r="M182" s="629">
        <v>0</v>
      </c>
      <c r="N182" s="629">
        <v>4.67</v>
      </c>
      <c r="O182" s="629">
        <v>0</v>
      </c>
    </row>
    <row r="183" spans="1:15" s="661" customFormat="1" ht="36">
      <c r="A183" s="133">
        <f t="shared" si="55"/>
        <v>53</v>
      </c>
      <c r="B183" s="662" t="s">
        <v>1348</v>
      </c>
      <c r="C183" s="662" t="s">
        <v>140</v>
      </c>
      <c r="D183" s="665">
        <v>20</v>
      </c>
      <c r="E183" s="665">
        <v>30</v>
      </c>
      <c r="F183" s="665">
        <v>1</v>
      </c>
      <c r="G183" s="665">
        <f t="shared" si="54"/>
        <v>600</v>
      </c>
      <c r="H183" s="665">
        <v>28</v>
      </c>
      <c r="I183" s="665">
        <v>1</v>
      </c>
      <c r="J183" s="667">
        <v>300</v>
      </c>
      <c r="K183" s="629">
        <v>300</v>
      </c>
      <c r="L183" s="667">
        <v>600</v>
      </c>
      <c r="M183" s="629">
        <v>600</v>
      </c>
      <c r="N183" s="629">
        <v>5.04</v>
      </c>
      <c r="O183" s="629">
        <v>8.68</v>
      </c>
    </row>
    <row r="184" spans="1:15" s="661" customFormat="1" ht="24">
      <c r="A184" s="133">
        <f t="shared" si="55"/>
        <v>54</v>
      </c>
      <c r="B184" s="675" t="s">
        <v>1349</v>
      </c>
      <c r="C184" s="662" t="s">
        <v>1350</v>
      </c>
      <c r="D184" s="665">
        <v>0</v>
      </c>
      <c r="E184" s="665">
        <v>0</v>
      </c>
      <c r="F184" s="665">
        <v>0</v>
      </c>
      <c r="G184" s="665">
        <f t="shared" si="54"/>
        <v>0</v>
      </c>
      <c r="H184" s="665">
        <v>2</v>
      </c>
      <c r="I184" s="665">
        <v>2</v>
      </c>
      <c r="J184" s="667">
        <v>57</v>
      </c>
      <c r="K184" s="667">
        <v>3</v>
      </c>
      <c r="L184" s="667">
        <v>60</v>
      </c>
      <c r="M184" s="629">
        <v>120</v>
      </c>
      <c r="N184" s="629">
        <v>0</v>
      </c>
      <c r="O184" s="629">
        <v>3.41</v>
      </c>
    </row>
    <row r="185" spans="1:15">
      <c r="A185" s="134"/>
      <c r="B185" s="945" t="s">
        <v>209</v>
      </c>
      <c r="C185" s="945"/>
      <c r="D185" s="135">
        <f>SUM(D176:D184)</f>
        <v>43</v>
      </c>
      <c r="E185" s="587">
        <f t="shared" ref="E185:O185" si="56">SUM(E176:E184)</f>
        <v>230</v>
      </c>
      <c r="F185" s="587"/>
      <c r="G185" s="587">
        <f t="shared" si="56"/>
        <v>1630</v>
      </c>
      <c r="H185" s="587">
        <f t="shared" si="56"/>
        <v>34</v>
      </c>
      <c r="I185" s="587"/>
      <c r="J185" s="587">
        <f t="shared" si="56"/>
        <v>450</v>
      </c>
      <c r="K185" s="587">
        <f t="shared" si="56"/>
        <v>307</v>
      </c>
      <c r="L185" s="587">
        <f t="shared" si="56"/>
        <v>757</v>
      </c>
      <c r="M185" s="587">
        <f t="shared" si="56"/>
        <v>861</v>
      </c>
      <c r="N185" s="690">
        <f t="shared" si="56"/>
        <v>31.61</v>
      </c>
      <c r="O185" s="690">
        <f t="shared" si="56"/>
        <v>17.759999999999998</v>
      </c>
    </row>
    <row r="186" spans="1:15">
      <c r="A186" s="131"/>
      <c r="B186" s="953" t="s">
        <v>692</v>
      </c>
      <c r="C186" s="953"/>
      <c r="D186" s="953"/>
      <c r="E186" s="953"/>
      <c r="F186" s="953"/>
      <c r="G186" s="953"/>
      <c r="H186" s="953"/>
      <c r="I186" s="953"/>
      <c r="J186" s="953"/>
      <c r="K186" s="953"/>
      <c r="L186" s="953"/>
      <c r="M186" s="953"/>
      <c r="N186" s="953"/>
      <c r="O186" s="953"/>
    </row>
    <row r="187" spans="1:15" ht="24">
      <c r="A187" s="133">
        <f>A184+1</f>
        <v>55</v>
      </c>
      <c r="B187" s="676" t="s">
        <v>74</v>
      </c>
      <c r="C187" s="677" t="s">
        <v>142</v>
      </c>
      <c r="D187" s="646">
        <v>5</v>
      </c>
      <c r="E187" s="654">
        <v>30</v>
      </c>
      <c r="F187" s="654">
        <v>1</v>
      </c>
      <c r="G187" s="629">
        <f t="shared" ref="G187:G198" si="57">F187*E187*D187</f>
        <v>150</v>
      </c>
      <c r="H187" s="654">
        <v>0</v>
      </c>
      <c r="I187" s="654">
        <v>0</v>
      </c>
      <c r="J187" s="678">
        <v>0</v>
      </c>
      <c r="K187" s="654">
        <v>0</v>
      </c>
      <c r="L187" s="654">
        <v>0</v>
      </c>
      <c r="M187" s="609">
        <v>0</v>
      </c>
      <c r="N187" s="609">
        <v>0.65</v>
      </c>
      <c r="O187" s="609">
        <v>0</v>
      </c>
    </row>
    <row r="188" spans="1:15" ht="24">
      <c r="A188" s="133">
        <f>A187+1</f>
        <v>56</v>
      </c>
      <c r="B188" s="676" t="s">
        <v>75</v>
      </c>
      <c r="C188" s="677" t="s">
        <v>1351</v>
      </c>
      <c r="D188" s="646">
        <v>5</v>
      </c>
      <c r="E188" s="654">
        <v>30</v>
      </c>
      <c r="F188" s="654">
        <v>2</v>
      </c>
      <c r="G188" s="629">
        <f t="shared" si="57"/>
        <v>300</v>
      </c>
      <c r="H188" s="654">
        <v>2</v>
      </c>
      <c r="I188" s="654">
        <v>2</v>
      </c>
      <c r="J188" s="679">
        <v>52</v>
      </c>
      <c r="K188" s="654">
        <v>5</v>
      </c>
      <c r="L188" s="679">
        <f>K188+J188</f>
        <v>57</v>
      </c>
      <c r="M188" s="609">
        <f>L188*I188</f>
        <v>114</v>
      </c>
      <c r="N188" s="609">
        <v>7.99</v>
      </c>
      <c r="O188" s="609">
        <v>3.55</v>
      </c>
    </row>
    <row r="189" spans="1:15">
      <c r="A189" s="133">
        <f t="shared" ref="A189:A198" si="58">A188+1</f>
        <v>57</v>
      </c>
      <c r="B189" s="676" t="s">
        <v>76</v>
      </c>
      <c r="C189" s="677" t="s">
        <v>1352</v>
      </c>
      <c r="D189" s="654">
        <v>3</v>
      </c>
      <c r="E189" s="654">
        <v>30</v>
      </c>
      <c r="F189" s="654">
        <v>2</v>
      </c>
      <c r="G189" s="629">
        <f t="shared" si="57"/>
        <v>180</v>
      </c>
      <c r="H189" s="654">
        <v>0</v>
      </c>
      <c r="I189" s="654">
        <v>0</v>
      </c>
      <c r="J189" s="679">
        <v>0</v>
      </c>
      <c r="K189" s="654">
        <v>0</v>
      </c>
      <c r="L189" s="654">
        <v>0</v>
      </c>
      <c r="M189" s="609">
        <v>0</v>
      </c>
      <c r="N189" s="647">
        <v>4.8</v>
      </c>
      <c r="O189" s="609">
        <v>0</v>
      </c>
    </row>
    <row r="190" spans="1:15" ht="24">
      <c r="A190" s="133">
        <f t="shared" si="58"/>
        <v>58</v>
      </c>
      <c r="B190" s="621" t="s">
        <v>77</v>
      </c>
      <c r="C190" s="677" t="s">
        <v>1353</v>
      </c>
      <c r="D190" s="654">
        <v>10</v>
      </c>
      <c r="E190" s="654">
        <v>30</v>
      </c>
      <c r="F190" s="654">
        <v>2</v>
      </c>
      <c r="G190" s="629">
        <f t="shared" si="57"/>
        <v>600</v>
      </c>
      <c r="H190" s="654">
        <v>8</v>
      </c>
      <c r="I190" s="654">
        <v>2</v>
      </c>
      <c r="J190" s="679">
        <v>178</v>
      </c>
      <c r="K190" s="654">
        <v>58</v>
      </c>
      <c r="L190" s="679">
        <f>K190+J190</f>
        <v>236</v>
      </c>
      <c r="M190" s="609">
        <f>L190*I190</f>
        <v>472</v>
      </c>
      <c r="N190" s="609">
        <v>15.99</v>
      </c>
      <c r="O190" s="609">
        <v>13.15</v>
      </c>
    </row>
    <row r="191" spans="1:15" ht="24">
      <c r="A191" s="133">
        <f t="shared" si="58"/>
        <v>59</v>
      </c>
      <c r="B191" s="621" t="s">
        <v>1196</v>
      </c>
      <c r="C191" s="677" t="s">
        <v>1174</v>
      </c>
      <c r="D191" s="654">
        <v>3</v>
      </c>
      <c r="E191" s="654">
        <v>30</v>
      </c>
      <c r="F191" s="654">
        <v>1</v>
      </c>
      <c r="G191" s="629">
        <f t="shared" si="57"/>
        <v>90</v>
      </c>
      <c r="H191" s="654">
        <v>1</v>
      </c>
      <c r="I191" s="654">
        <v>1</v>
      </c>
      <c r="J191" s="679">
        <v>33</v>
      </c>
      <c r="K191" s="654">
        <v>7</v>
      </c>
      <c r="L191" s="679">
        <f>K191+J191</f>
        <v>40</v>
      </c>
      <c r="M191" s="609">
        <v>40</v>
      </c>
      <c r="N191" s="609">
        <v>0.94</v>
      </c>
      <c r="O191" s="609">
        <v>0.86</v>
      </c>
    </row>
    <row r="192" spans="1:15" ht="24">
      <c r="A192" s="133">
        <f t="shared" si="58"/>
        <v>60</v>
      </c>
      <c r="B192" s="621" t="s">
        <v>78</v>
      </c>
      <c r="C192" s="677" t="s">
        <v>1352</v>
      </c>
      <c r="D192" s="654">
        <v>10</v>
      </c>
      <c r="E192" s="654">
        <v>40</v>
      </c>
      <c r="F192" s="654">
        <v>1</v>
      </c>
      <c r="G192" s="629">
        <f t="shared" si="57"/>
        <v>400</v>
      </c>
      <c r="H192" s="654">
        <v>2</v>
      </c>
      <c r="I192" s="654">
        <v>1</v>
      </c>
      <c r="J192" s="679">
        <v>20</v>
      </c>
      <c r="K192" s="654">
        <v>60</v>
      </c>
      <c r="L192" s="679">
        <f>K192+J192</f>
        <v>80</v>
      </c>
      <c r="M192" s="609">
        <f>L192*I192</f>
        <v>80</v>
      </c>
      <c r="N192" s="609">
        <v>0.94</v>
      </c>
      <c r="O192" s="609">
        <v>1.25</v>
      </c>
    </row>
    <row r="193" spans="1:15" ht="24">
      <c r="A193" s="133">
        <f t="shared" si="58"/>
        <v>61</v>
      </c>
      <c r="B193" s="621" t="s">
        <v>79</v>
      </c>
      <c r="C193" s="677" t="s">
        <v>1352</v>
      </c>
      <c r="D193" s="654">
        <v>10</v>
      </c>
      <c r="E193" s="654">
        <v>60</v>
      </c>
      <c r="F193" s="654">
        <v>1</v>
      </c>
      <c r="G193" s="629">
        <f t="shared" si="57"/>
        <v>600</v>
      </c>
      <c r="H193" s="654">
        <v>17</v>
      </c>
      <c r="I193" s="680">
        <v>1</v>
      </c>
      <c r="J193" s="679">
        <v>255</v>
      </c>
      <c r="K193" s="654">
        <v>255</v>
      </c>
      <c r="L193" s="654">
        <f>K193+J193</f>
        <v>510</v>
      </c>
      <c r="M193" s="609">
        <f>L193*I193</f>
        <v>510</v>
      </c>
      <c r="N193" s="609">
        <v>1.77</v>
      </c>
      <c r="O193" s="647">
        <v>6.99</v>
      </c>
    </row>
    <row r="194" spans="1:15" ht="24">
      <c r="A194" s="133">
        <f t="shared" si="58"/>
        <v>62</v>
      </c>
      <c r="B194" s="621" t="s">
        <v>80</v>
      </c>
      <c r="C194" s="677" t="s">
        <v>1352</v>
      </c>
      <c r="D194" s="654">
        <v>2</v>
      </c>
      <c r="E194" s="654">
        <v>30</v>
      </c>
      <c r="F194" s="654">
        <v>1</v>
      </c>
      <c r="G194" s="629">
        <f t="shared" si="57"/>
        <v>60</v>
      </c>
      <c r="H194" s="654">
        <v>2</v>
      </c>
      <c r="I194" s="680">
        <v>1</v>
      </c>
      <c r="J194" s="679">
        <v>49</v>
      </c>
      <c r="K194" s="654">
        <v>8</v>
      </c>
      <c r="L194" s="654">
        <f>K194+J194</f>
        <v>57</v>
      </c>
      <c r="M194" s="609">
        <f>L194*I194</f>
        <v>57</v>
      </c>
      <c r="N194" s="609">
        <v>1.65</v>
      </c>
      <c r="O194" s="647">
        <v>1.83</v>
      </c>
    </row>
    <row r="195" spans="1:15" ht="24">
      <c r="A195" s="133">
        <f t="shared" si="58"/>
        <v>63</v>
      </c>
      <c r="B195" s="621" t="s">
        <v>81</v>
      </c>
      <c r="C195" s="677" t="s">
        <v>144</v>
      </c>
      <c r="D195" s="654">
        <v>5</v>
      </c>
      <c r="E195" s="654">
        <v>30</v>
      </c>
      <c r="F195" s="654">
        <v>1</v>
      </c>
      <c r="G195" s="629">
        <f t="shared" si="57"/>
        <v>150</v>
      </c>
      <c r="H195" s="654">
        <v>0</v>
      </c>
      <c r="I195" s="654">
        <v>0</v>
      </c>
      <c r="J195" s="679">
        <v>0</v>
      </c>
      <c r="K195" s="654">
        <v>0</v>
      </c>
      <c r="L195" s="654">
        <v>0</v>
      </c>
      <c r="M195" s="609">
        <f>L195*I195</f>
        <v>0</v>
      </c>
      <c r="N195" s="609">
        <v>0.3</v>
      </c>
      <c r="O195" s="681">
        <v>0</v>
      </c>
    </row>
    <row r="196" spans="1:15" ht="24">
      <c r="A196" s="133">
        <f t="shared" si="58"/>
        <v>64</v>
      </c>
      <c r="B196" s="621" t="s">
        <v>82</v>
      </c>
      <c r="C196" s="677" t="s">
        <v>1354</v>
      </c>
      <c r="D196" s="654">
        <v>7</v>
      </c>
      <c r="E196" s="654">
        <v>30</v>
      </c>
      <c r="F196" s="654">
        <v>1</v>
      </c>
      <c r="G196" s="629">
        <f t="shared" si="57"/>
        <v>210</v>
      </c>
      <c r="H196" s="654">
        <v>8</v>
      </c>
      <c r="I196" s="654">
        <v>1</v>
      </c>
      <c r="J196" s="679">
        <v>0</v>
      </c>
      <c r="K196" s="654">
        <v>240</v>
      </c>
      <c r="L196" s="679">
        <f>K196+J196</f>
        <v>240</v>
      </c>
      <c r="M196" s="609">
        <f>L196*I196</f>
        <v>240</v>
      </c>
      <c r="N196" s="609">
        <v>0.54</v>
      </c>
      <c r="O196" s="647">
        <v>2.4</v>
      </c>
    </row>
    <row r="197" spans="1:15" ht="24">
      <c r="A197" s="133">
        <f t="shared" si="58"/>
        <v>65</v>
      </c>
      <c r="B197" s="646" t="s">
        <v>313</v>
      </c>
      <c r="C197" s="682" t="s">
        <v>1355</v>
      </c>
      <c r="D197" s="654">
        <v>1</v>
      </c>
      <c r="E197" s="654">
        <v>30</v>
      </c>
      <c r="F197" s="654">
        <v>30</v>
      </c>
      <c r="G197" s="629">
        <f t="shared" si="57"/>
        <v>900</v>
      </c>
      <c r="H197" s="654">
        <v>12</v>
      </c>
      <c r="I197" s="654"/>
      <c r="J197" s="679">
        <v>398</v>
      </c>
      <c r="K197" s="646">
        <v>140</v>
      </c>
      <c r="L197" s="683">
        <f>K197+J197</f>
        <v>538</v>
      </c>
      <c r="M197" s="684">
        <v>5995</v>
      </c>
      <c r="N197" s="609">
        <v>25.5</v>
      </c>
      <c r="O197" s="685">
        <v>99.24</v>
      </c>
    </row>
    <row r="198" spans="1:15" ht="24">
      <c r="A198" s="133">
        <f t="shared" si="58"/>
        <v>66</v>
      </c>
      <c r="B198" s="646" t="s">
        <v>1201</v>
      </c>
      <c r="C198" s="686" t="s">
        <v>1356</v>
      </c>
      <c r="D198" s="654">
        <v>1</v>
      </c>
      <c r="E198" s="654">
        <v>20</v>
      </c>
      <c r="F198" s="654">
        <v>2</v>
      </c>
      <c r="G198" s="629">
        <f t="shared" si="57"/>
        <v>40</v>
      </c>
      <c r="H198" s="654">
        <v>1</v>
      </c>
      <c r="I198" s="654">
        <v>1</v>
      </c>
      <c r="J198" s="654">
        <v>11</v>
      </c>
      <c r="K198" s="654">
        <v>10</v>
      </c>
      <c r="L198" s="683">
        <f>K198+J198</f>
        <v>21</v>
      </c>
      <c r="M198" s="602">
        <f>L198*I198</f>
        <v>21</v>
      </c>
      <c r="N198" s="609">
        <v>0.31</v>
      </c>
      <c r="O198" s="602">
        <v>0.43</v>
      </c>
    </row>
    <row r="199" spans="1:15" ht="15">
      <c r="A199" s="134"/>
      <c r="B199" s="945" t="s">
        <v>209</v>
      </c>
      <c r="C199" s="945"/>
      <c r="D199" s="137">
        <f>SUM(D187:D198)</f>
        <v>62</v>
      </c>
      <c r="E199" s="137">
        <f t="shared" ref="E199:N199" si="59">SUM(E187:E198)</f>
        <v>390</v>
      </c>
      <c r="F199" s="137"/>
      <c r="G199" s="137">
        <f t="shared" si="59"/>
        <v>3680</v>
      </c>
      <c r="H199" s="137">
        <f t="shared" si="59"/>
        <v>53</v>
      </c>
      <c r="I199" s="137"/>
      <c r="J199" s="137">
        <f t="shared" si="59"/>
        <v>996</v>
      </c>
      <c r="K199" s="137">
        <f t="shared" si="59"/>
        <v>783</v>
      </c>
      <c r="L199" s="137">
        <f t="shared" si="59"/>
        <v>1779</v>
      </c>
      <c r="M199" s="137">
        <f t="shared" si="59"/>
        <v>7529</v>
      </c>
      <c r="N199" s="137">
        <f t="shared" si="59"/>
        <v>61.38</v>
      </c>
      <c r="O199" s="137">
        <f>SUM(O187:O198)</f>
        <v>129.69999999999999</v>
      </c>
    </row>
    <row r="200" spans="1:15">
      <c r="A200" s="131" t="s">
        <v>476</v>
      </c>
      <c r="B200" s="953" t="s">
        <v>477</v>
      </c>
      <c r="C200" s="953"/>
      <c r="D200" s="953"/>
      <c r="E200" s="953"/>
      <c r="F200" s="953"/>
      <c r="G200" s="953"/>
      <c r="H200" s="953"/>
      <c r="I200" s="953"/>
      <c r="J200" s="953"/>
      <c r="K200" s="953"/>
      <c r="L200" s="953"/>
      <c r="M200" s="953"/>
      <c r="N200" s="953"/>
      <c r="O200" s="953"/>
    </row>
    <row r="201" spans="1:15" s="661" customFormat="1" ht="24">
      <c r="A201" s="133">
        <f>A198+1</f>
        <v>67</v>
      </c>
      <c r="B201" s="621" t="s">
        <v>1100</v>
      </c>
      <c r="C201" s="687" t="s">
        <v>1357</v>
      </c>
      <c r="D201" s="623">
        <v>4</v>
      </c>
      <c r="E201" s="646">
        <v>30</v>
      </c>
      <c r="F201" s="623">
        <v>2</v>
      </c>
      <c r="G201" s="623">
        <f>F201*E201*D201</f>
        <v>240</v>
      </c>
      <c r="H201" s="623">
        <v>4</v>
      </c>
      <c r="I201" s="623">
        <v>2</v>
      </c>
      <c r="J201" s="625">
        <v>104</v>
      </c>
      <c r="K201" s="623">
        <v>2</v>
      </c>
      <c r="L201" s="625">
        <f>K201+J201</f>
        <v>106</v>
      </c>
      <c r="M201" s="609">
        <f>L201*I201</f>
        <v>212</v>
      </c>
      <c r="N201" s="647">
        <v>10</v>
      </c>
      <c r="O201" s="609">
        <v>6.08</v>
      </c>
    </row>
    <row r="202" spans="1:15" s="661" customFormat="1" ht="24">
      <c r="A202" s="133">
        <f>A201+1</f>
        <v>68</v>
      </c>
      <c r="B202" s="621" t="s">
        <v>478</v>
      </c>
      <c r="C202" s="687" t="s">
        <v>1358</v>
      </c>
      <c r="D202" s="623">
        <v>2</v>
      </c>
      <c r="E202" s="654">
        <v>36</v>
      </c>
      <c r="F202" s="623">
        <v>1</v>
      </c>
      <c r="G202" s="623">
        <f>F202*E202*D202</f>
        <v>72</v>
      </c>
      <c r="H202" s="623">
        <v>2</v>
      </c>
      <c r="I202" s="623">
        <v>1</v>
      </c>
      <c r="J202" s="625">
        <v>60</v>
      </c>
      <c r="K202" s="623">
        <v>5</v>
      </c>
      <c r="L202" s="625">
        <f>K202+J202</f>
        <v>65</v>
      </c>
      <c r="M202" s="609">
        <f>L202*I202</f>
        <v>65</v>
      </c>
      <c r="N202" s="647">
        <v>4</v>
      </c>
      <c r="O202" s="609">
        <v>2.4500000000000002</v>
      </c>
    </row>
    <row r="203" spans="1:15" s="661" customFormat="1" ht="24">
      <c r="A203" s="133">
        <f t="shared" ref="A203:A206" si="60">A202+1</f>
        <v>69</v>
      </c>
      <c r="B203" s="621" t="s">
        <v>478</v>
      </c>
      <c r="C203" s="687" t="s">
        <v>1359</v>
      </c>
      <c r="D203" s="623">
        <v>4</v>
      </c>
      <c r="E203" s="654">
        <v>31</v>
      </c>
      <c r="F203" s="623">
        <v>1</v>
      </c>
      <c r="G203" s="623">
        <f>F203*E203*D203</f>
        <v>124</v>
      </c>
      <c r="H203" s="623">
        <v>4</v>
      </c>
      <c r="I203" s="623">
        <v>1</v>
      </c>
      <c r="J203" s="625">
        <v>97</v>
      </c>
      <c r="K203" s="623">
        <v>4</v>
      </c>
      <c r="L203" s="625">
        <f>K203+J203</f>
        <v>101</v>
      </c>
      <c r="M203" s="609">
        <f>L203*I203</f>
        <v>101</v>
      </c>
      <c r="N203" s="647">
        <v>8</v>
      </c>
      <c r="O203" s="609">
        <v>3.42</v>
      </c>
    </row>
    <row r="204" spans="1:15" s="661" customFormat="1" ht="24">
      <c r="A204" s="133">
        <f t="shared" si="60"/>
        <v>70</v>
      </c>
      <c r="B204" s="621" t="s">
        <v>478</v>
      </c>
      <c r="C204" s="687" t="s">
        <v>1360</v>
      </c>
      <c r="D204" s="623">
        <v>4</v>
      </c>
      <c r="E204" s="654">
        <v>30</v>
      </c>
      <c r="F204" s="623">
        <v>2</v>
      </c>
      <c r="G204" s="623">
        <f>F204*E204*D204</f>
        <v>240</v>
      </c>
      <c r="H204" s="623">
        <v>4</v>
      </c>
      <c r="I204" s="623">
        <v>2</v>
      </c>
      <c r="J204" s="625">
        <v>105</v>
      </c>
      <c r="K204" s="623">
        <v>8</v>
      </c>
      <c r="L204" s="625">
        <f>K204+J204</f>
        <v>113</v>
      </c>
      <c r="M204" s="609">
        <f>L204*I204</f>
        <v>226</v>
      </c>
      <c r="N204" s="647">
        <v>8</v>
      </c>
      <c r="O204" s="609">
        <v>5.83</v>
      </c>
    </row>
    <row r="205" spans="1:15" s="661" customFormat="1">
      <c r="A205" s="133">
        <f t="shared" si="60"/>
        <v>71</v>
      </c>
      <c r="B205" s="621" t="s">
        <v>478</v>
      </c>
      <c r="C205" s="687" t="s">
        <v>1361</v>
      </c>
      <c r="D205" s="623">
        <f>SUM(D201:D204)</f>
        <v>14</v>
      </c>
      <c r="E205" s="654">
        <v>17</v>
      </c>
      <c r="F205" s="623">
        <v>2</v>
      </c>
      <c r="G205" s="623">
        <v>34</v>
      </c>
      <c r="H205" s="623">
        <v>1</v>
      </c>
      <c r="I205" s="623">
        <v>1</v>
      </c>
      <c r="J205" s="625">
        <v>15</v>
      </c>
      <c r="K205" s="623">
        <v>0</v>
      </c>
      <c r="L205" s="625">
        <f>K205+J205</f>
        <v>15</v>
      </c>
      <c r="M205" s="609">
        <f>L205*I205</f>
        <v>15</v>
      </c>
      <c r="N205" s="647">
        <v>1.5</v>
      </c>
      <c r="O205" s="609">
        <v>0.38</v>
      </c>
    </row>
    <row r="206" spans="1:15" s="661" customFormat="1">
      <c r="A206" s="133">
        <f t="shared" si="60"/>
        <v>72</v>
      </c>
      <c r="B206" s="621" t="s">
        <v>478</v>
      </c>
      <c r="C206" s="687" t="s">
        <v>1362</v>
      </c>
      <c r="D206" s="623">
        <v>2</v>
      </c>
      <c r="E206" s="654">
        <v>36</v>
      </c>
      <c r="F206" s="623">
        <v>1</v>
      </c>
      <c r="G206" s="623">
        <f>F206*E206*D206</f>
        <v>72</v>
      </c>
      <c r="H206" s="635"/>
      <c r="I206" s="635"/>
      <c r="J206" s="692"/>
      <c r="K206" s="621"/>
      <c r="L206" s="687"/>
      <c r="M206" s="595"/>
      <c r="N206" s="647">
        <v>4</v>
      </c>
      <c r="O206" s="609">
        <v>0</v>
      </c>
    </row>
    <row r="207" spans="1:15" ht="15">
      <c r="A207" s="134"/>
      <c r="B207" s="945" t="s">
        <v>209</v>
      </c>
      <c r="C207" s="945"/>
      <c r="D207" s="137">
        <f>SUM(D201:D206)</f>
        <v>30</v>
      </c>
      <c r="E207" s="137">
        <f t="shared" ref="E207:O207" si="61">SUM(E201:E206)</f>
        <v>180</v>
      </c>
      <c r="F207" s="137">
        <f t="shared" si="61"/>
        <v>9</v>
      </c>
      <c r="G207" s="137">
        <f t="shared" si="61"/>
        <v>782</v>
      </c>
      <c r="H207" s="137">
        <f t="shared" si="61"/>
        <v>15</v>
      </c>
      <c r="I207" s="137">
        <f t="shared" si="61"/>
        <v>7</v>
      </c>
      <c r="J207" s="137">
        <f t="shared" si="61"/>
        <v>381</v>
      </c>
      <c r="K207" s="137">
        <f t="shared" si="61"/>
        <v>19</v>
      </c>
      <c r="L207" s="137">
        <f t="shared" si="61"/>
        <v>400</v>
      </c>
      <c r="M207" s="137">
        <f t="shared" si="61"/>
        <v>619</v>
      </c>
      <c r="N207" s="691">
        <f t="shared" si="61"/>
        <v>35.5</v>
      </c>
      <c r="O207" s="691">
        <f t="shared" si="61"/>
        <v>18.16</v>
      </c>
    </row>
    <row r="208" spans="1:15" s="81" customFormat="1" ht="15" customHeight="1">
      <c r="A208" s="582"/>
      <c r="B208" s="941" t="s">
        <v>1282</v>
      </c>
      <c r="C208" s="941"/>
      <c r="D208" s="791">
        <f>D207+D199+D185+D174+D167+D154+D144+D132</f>
        <v>662</v>
      </c>
      <c r="E208" s="791">
        <f t="shared" ref="E208:H208" si="62">E207+E199+E185+E174+E167+E154+E144+E132</f>
        <v>2139</v>
      </c>
      <c r="F208" s="791">
        <f t="shared" si="62"/>
        <v>9</v>
      </c>
      <c r="G208" s="791">
        <f t="shared" si="62"/>
        <v>40647</v>
      </c>
      <c r="H208" s="791">
        <f t="shared" si="62"/>
        <v>805</v>
      </c>
      <c r="I208" s="791"/>
      <c r="J208" s="791">
        <f t="shared" ref="J208:N208" si="63">J207+J199+J185+J174+L124+J167+J154+J144+J132</f>
        <v>21151</v>
      </c>
      <c r="K208" s="791">
        <f t="shared" si="63"/>
        <v>11808</v>
      </c>
      <c r="L208" s="791">
        <f t="shared" si="63"/>
        <v>32460.6</v>
      </c>
      <c r="M208" s="791">
        <f t="shared" si="63"/>
        <v>63007.31</v>
      </c>
      <c r="N208" s="584">
        <f t="shared" si="63"/>
        <v>680.80000000000007</v>
      </c>
      <c r="O208" s="584">
        <f>O207+O199+O185+O174+Q124+O167+O154+O144+O132</f>
        <v>674.80499999999995</v>
      </c>
    </row>
    <row r="209" spans="1:16" ht="20.25">
      <c r="A209" s="181" t="s">
        <v>481</v>
      </c>
      <c r="B209" s="167"/>
      <c r="C209" s="167"/>
      <c r="D209" s="167"/>
      <c r="E209" s="167"/>
      <c r="F209" s="167"/>
      <c r="G209" s="167"/>
      <c r="H209" s="167"/>
      <c r="I209" s="167"/>
      <c r="J209" s="167"/>
      <c r="K209" s="167"/>
      <c r="L209" s="167"/>
      <c r="M209" s="167"/>
      <c r="N209" s="168"/>
      <c r="O209" s="168"/>
    </row>
    <row r="210" spans="1:16" ht="24">
      <c r="A210" s="141">
        <v>1</v>
      </c>
      <c r="B210" s="142" t="s">
        <v>482</v>
      </c>
      <c r="C210" s="143" t="s">
        <v>226</v>
      </c>
      <c r="D210" s="141">
        <v>36</v>
      </c>
      <c r="E210" s="144">
        <v>1400</v>
      </c>
      <c r="F210" s="141">
        <v>1</v>
      </c>
      <c r="G210" s="141">
        <v>1400</v>
      </c>
      <c r="H210" s="141">
        <v>36</v>
      </c>
      <c r="I210" s="141">
        <v>1</v>
      </c>
      <c r="J210" s="141">
        <v>0</v>
      </c>
      <c r="K210" s="141">
        <v>1400</v>
      </c>
      <c r="L210" s="141">
        <v>1400</v>
      </c>
      <c r="M210" s="141">
        <v>1400</v>
      </c>
      <c r="N210" s="145">
        <v>6.53</v>
      </c>
      <c r="O210" s="145">
        <v>6.52</v>
      </c>
      <c r="P210" s="79" t="s">
        <v>1585</v>
      </c>
    </row>
    <row r="211" spans="1:16" s="80" customFormat="1" ht="14.25" customHeight="1">
      <c r="A211" s="582"/>
      <c r="B211" s="941" t="s">
        <v>1283</v>
      </c>
      <c r="C211" s="941"/>
      <c r="D211" s="582">
        <f>SUM(D210)</f>
        <v>36</v>
      </c>
      <c r="E211" s="582">
        <f t="shared" ref="E211:O211" si="64">SUM(E210)</f>
        <v>1400</v>
      </c>
      <c r="F211" s="582">
        <f t="shared" si="64"/>
        <v>1</v>
      </c>
      <c r="G211" s="582">
        <f t="shared" si="64"/>
        <v>1400</v>
      </c>
      <c r="H211" s="582">
        <f t="shared" si="64"/>
        <v>36</v>
      </c>
      <c r="I211" s="582">
        <f t="shared" si="64"/>
        <v>1</v>
      </c>
      <c r="J211" s="582">
        <f t="shared" si="64"/>
        <v>0</v>
      </c>
      <c r="K211" s="582">
        <f t="shared" si="64"/>
        <v>1400</v>
      </c>
      <c r="L211" s="582">
        <f t="shared" si="64"/>
        <v>1400</v>
      </c>
      <c r="M211" s="582">
        <f t="shared" si="64"/>
        <v>1400</v>
      </c>
      <c r="N211" s="583">
        <f t="shared" si="64"/>
        <v>6.53</v>
      </c>
      <c r="O211" s="584">
        <f t="shared" si="64"/>
        <v>6.52</v>
      </c>
    </row>
    <row r="212" spans="1:16" ht="20.25">
      <c r="A212" s="181" t="s">
        <v>483</v>
      </c>
      <c r="B212" s="167"/>
      <c r="C212" s="167"/>
      <c r="D212" s="167"/>
      <c r="E212" s="167"/>
      <c r="F212" s="167"/>
      <c r="G212" s="167"/>
      <c r="H212" s="167"/>
      <c r="I212" s="167"/>
      <c r="J212" s="167"/>
      <c r="K212" s="167"/>
      <c r="L212" s="167"/>
      <c r="M212" s="167"/>
      <c r="N212" s="168"/>
      <c r="O212" s="168"/>
    </row>
    <row r="213" spans="1:16" s="234" customFormat="1">
      <c r="A213" s="108">
        <v>1</v>
      </c>
      <c r="B213" s="86" t="s">
        <v>395</v>
      </c>
      <c r="C213" s="109" t="s">
        <v>228</v>
      </c>
      <c r="D213" s="108">
        <v>63</v>
      </c>
      <c r="E213" s="108">
        <v>2268</v>
      </c>
      <c r="F213" s="108">
        <v>2</v>
      </c>
      <c r="G213" s="108">
        <v>4536</v>
      </c>
      <c r="H213" s="108">
        <v>63</v>
      </c>
      <c r="I213" s="108">
        <v>2</v>
      </c>
      <c r="J213" s="108">
        <v>493</v>
      </c>
      <c r="K213" s="108">
        <v>1525</v>
      </c>
      <c r="L213" s="108">
        <f>J213+K213</f>
        <v>2018</v>
      </c>
      <c r="M213" s="108">
        <f t="shared" ref="M213:M214" si="65">L213*I213</f>
        <v>4036</v>
      </c>
      <c r="N213" s="149">
        <v>110</v>
      </c>
      <c r="O213" s="292">
        <v>108.42</v>
      </c>
    </row>
    <row r="214" spans="1:16" s="234" customFormat="1">
      <c r="A214" s="108">
        <f>A213+1</f>
        <v>2</v>
      </c>
      <c r="B214" s="86" t="s">
        <v>417</v>
      </c>
      <c r="C214" s="109" t="s">
        <v>418</v>
      </c>
      <c r="D214" s="108">
        <v>8</v>
      </c>
      <c r="E214" s="108">
        <v>200</v>
      </c>
      <c r="F214" s="108">
        <v>3</v>
      </c>
      <c r="G214" s="108">
        <v>600</v>
      </c>
      <c r="H214" s="108">
        <v>8</v>
      </c>
      <c r="I214" s="108">
        <v>3</v>
      </c>
      <c r="J214" s="108">
        <v>0</v>
      </c>
      <c r="K214" s="108">
        <v>165</v>
      </c>
      <c r="L214" s="108">
        <f>J214+K214</f>
        <v>165</v>
      </c>
      <c r="M214" s="108">
        <f t="shared" si="65"/>
        <v>495</v>
      </c>
      <c r="N214" s="293">
        <v>14</v>
      </c>
      <c r="O214" s="102">
        <v>13.55</v>
      </c>
    </row>
    <row r="215" spans="1:16" s="234" customFormat="1">
      <c r="A215" s="108">
        <f t="shared" ref="A215" si="66">A214+1</f>
        <v>3</v>
      </c>
      <c r="B215" s="258" t="s">
        <v>446</v>
      </c>
      <c r="C215" s="259" t="s">
        <v>446</v>
      </c>
      <c r="D215" s="108">
        <v>24</v>
      </c>
      <c r="E215" s="108">
        <v>384</v>
      </c>
      <c r="F215" s="108">
        <v>2</v>
      </c>
      <c r="G215" s="108">
        <v>768</v>
      </c>
      <c r="H215" s="108">
        <v>24</v>
      </c>
      <c r="I215" s="108">
        <v>2</v>
      </c>
      <c r="J215" s="108">
        <v>394</v>
      </c>
      <c r="K215" s="260">
        <v>19</v>
      </c>
      <c r="L215" s="108">
        <f>J215+K215</f>
        <v>413</v>
      </c>
      <c r="M215" s="108">
        <f>L215*I215</f>
        <v>826</v>
      </c>
      <c r="N215" s="149">
        <v>32</v>
      </c>
      <c r="O215" s="292">
        <v>31.67</v>
      </c>
    </row>
    <row r="216" spans="1:16" s="80" customFormat="1">
      <c r="A216" s="582"/>
      <c r="B216" s="941" t="s">
        <v>1284</v>
      </c>
      <c r="C216" s="941"/>
      <c r="D216" s="582">
        <f>SUM(D213:D215)</f>
        <v>95</v>
      </c>
      <c r="E216" s="582">
        <f>SUM(E213:E215)</f>
        <v>2852</v>
      </c>
      <c r="F216" s="582"/>
      <c r="G216" s="582">
        <f>SUM(G213:G215)</f>
        <v>5904</v>
      </c>
      <c r="H216" s="582">
        <f>SUM(H213:H215)</f>
        <v>95</v>
      </c>
      <c r="I216" s="582"/>
      <c r="J216" s="582">
        <f t="shared" ref="J216:O216" si="67">SUM(J213:J215)</f>
        <v>887</v>
      </c>
      <c r="K216" s="582">
        <f t="shared" si="67"/>
        <v>1709</v>
      </c>
      <c r="L216" s="582">
        <f t="shared" si="67"/>
        <v>2596</v>
      </c>
      <c r="M216" s="582">
        <f t="shared" si="67"/>
        <v>5357</v>
      </c>
      <c r="N216" s="583">
        <f t="shared" si="67"/>
        <v>156</v>
      </c>
      <c r="O216" s="584">
        <f t="shared" si="67"/>
        <v>153.63999999999999</v>
      </c>
    </row>
    <row r="217" spans="1:16" ht="18">
      <c r="A217" s="181" t="s">
        <v>479</v>
      </c>
      <c r="B217" s="164"/>
      <c r="C217" s="165"/>
      <c r="D217" s="164"/>
      <c r="E217" s="164"/>
      <c r="F217" s="164"/>
      <c r="G217" s="164"/>
      <c r="H217" s="164"/>
      <c r="I217" s="164"/>
      <c r="J217" s="164"/>
      <c r="K217" s="164"/>
      <c r="L217" s="164"/>
      <c r="M217" s="164"/>
      <c r="N217" s="166"/>
      <c r="O217" s="166"/>
    </row>
    <row r="218" spans="1:16" s="234" customFormat="1" ht="24">
      <c r="A218" s="101">
        <v>1</v>
      </c>
      <c r="B218" s="139"/>
      <c r="C218" s="248" t="s">
        <v>881</v>
      </c>
      <c r="D218" s="249">
        <v>65</v>
      </c>
      <c r="E218" s="250">
        <v>2600</v>
      </c>
      <c r="F218" s="249">
        <v>2</v>
      </c>
      <c r="G218" s="250">
        <v>5200</v>
      </c>
      <c r="H218" s="249">
        <v>63</v>
      </c>
      <c r="I218" s="251">
        <v>2</v>
      </c>
      <c r="J218" s="249">
        <v>0</v>
      </c>
      <c r="K218" s="251">
        <v>2052</v>
      </c>
      <c r="L218" s="108">
        <f>J218+K218</f>
        <v>2052</v>
      </c>
      <c r="M218" s="108">
        <f t="shared" ref="M218:M225" si="68">L218*I218</f>
        <v>4104</v>
      </c>
      <c r="N218" s="252">
        <v>10</v>
      </c>
      <c r="O218" s="253">
        <v>7.52</v>
      </c>
    </row>
    <row r="219" spans="1:16" s="234" customFormat="1" ht="24">
      <c r="A219" s="101">
        <f>1+A218</f>
        <v>2</v>
      </c>
      <c r="B219" s="139"/>
      <c r="C219" s="248" t="s">
        <v>882</v>
      </c>
      <c r="D219" s="249">
        <v>100</v>
      </c>
      <c r="E219" s="250">
        <v>4000</v>
      </c>
      <c r="F219" s="249">
        <v>1</v>
      </c>
      <c r="G219" s="250">
        <v>4000</v>
      </c>
      <c r="H219" s="249">
        <v>95</v>
      </c>
      <c r="I219" s="251">
        <v>1</v>
      </c>
      <c r="J219" s="249">
        <v>97</v>
      </c>
      <c r="K219" s="251">
        <v>2615</v>
      </c>
      <c r="L219" s="108">
        <f t="shared" ref="L219:L229" si="69">J219+K219</f>
        <v>2712</v>
      </c>
      <c r="M219" s="108">
        <f t="shared" si="68"/>
        <v>2712</v>
      </c>
      <c r="N219" s="252">
        <v>8</v>
      </c>
      <c r="O219" s="254">
        <v>5.2</v>
      </c>
    </row>
    <row r="220" spans="1:16" s="234" customFormat="1" ht="24">
      <c r="A220" s="101">
        <f t="shared" ref="A220:A229" si="70">1+A219</f>
        <v>3</v>
      </c>
      <c r="B220" s="139"/>
      <c r="C220" s="248" t="s">
        <v>883</v>
      </c>
      <c r="D220" s="249">
        <v>40</v>
      </c>
      <c r="E220" s="250">
        <v>1600</v>
      </c>
      <c r="F220" s="249">
        <v>1</v>
      </c>
      <c r="G220" s="250">
        <v>1600</v>
      </c>
      <c r="H220" s="249">
        <v>49</v>
      </c>
      <c r="I220" s="251">
        <v>1</v>
      </c>
      <c r="J220" s="249">
        <v>0</v>
      </c>
      <c r="K220" s="251">
        <v>1669</v>
      </c>
      <c r="L220" s="108">
        <f t="shared" si="69"/>
        <v>1669</v>
      </c>
      <c r="M220" s="108">
        <f t="shared" si="68"/>
        <v>1669</v>
      </c>
      <c r="N220" s="252">
        <v>3</v>
      </c>
      <c r="O220" s="254">
        <v>3.01</v>
      </c>
    </row>
    <row r="221" spans="1:16" s="234" customFormat="1" ht="24">
      <c r="A221" s="101">
        <f t="shared" si="70"/>
        <v>4</v>
      </c>
      <c r="B221" s="139"/>
      <c r="C221" s="248" t="s">
        <v>884</v>
      </c>
      <c r="D221" s="249">
        <v>144</v>
      </c>
      <c r="E221" s="250">
        <v>2880</v>
      </c>
      <c r="F221" s="249">
        <v>120</v>
      </c>
      <c r="G221" s="250">
        <v>345600</v>
      </c>
      <c r="H221" s="249">
        <v>154</v>
      </c>
      <c r="I221" s="251">
        <v>93</v>
      </c>
      <c r="J221" s="249">
        <v>0</v>
      </c>
      <c r="K221" s="251">
        <v>3080</v>
      </c>
      <c r="L221" s="108">
        <f t="shared" si="69"/>
        <v>3080</v>
      </c>
      <c r="M221" s="108">
        <f t="shared" si="68"/>
        <v>286440</v>
      </c>
      <c r="N221" s="252">
        <v>70</v>
      </c>
      <c r="O221" s="254">
        <v>64.48</v>
      </c>
    </row>
    <row r="222" spans="1:16" s="234" customFormat="1" ht="24">
      <c r="A222" s="101">
        <f t="shared" si="70"/>
        <v>5</v>
      </c>
      <c r="B222" s="139"/>
      <c r="C222" s="248" t="s">
        <v>885</v>
      </c>
      <c r="D222" s="249">
        <v>6</v>
      </c>
      <c r="E222" s="250">
        <v>84</v>
      </c>
      <c r="F222" s="249">
        <v>3</v>
      </c>
      <c r="G222" s="250">
        <v>252</v>
      </c>
      <c r="H222" s="249">
        <v>8</v>
      </c>
      <c r="I222" s="251">
        <v>4</v>
      </c>
      <c r="J222" s="249">
        <v>0</v>
      </c>
      <c r="K222" s="251">
        <v>153</v>
      </c>
      <c r="L222" s="108">
        <f t="shared" si="69"/>
        <v>153</v>
      </c>
      <c r="M222" s="108">
        <f t="shared" si="68"/>
        <v>612</v>
      </c>
      <c r="N222" s="252">
        <v>4</v>
      </c>
      <c r="O222" s="254">
        <v>6.49</v>
      </c>
    </row>
    <row r="223" spans="1:16" s="234" customFormat="1" ht="24">
      <c r="A223" s="101">
        <f t="shared" si="70"/>
        <v>6</v>
      </c>
      <c r="B223" s="139"/>
      <c r="C223" s="248" t="s">
        <v>886</v>
      </c>
      <c r="D223" s="249">
        <v>12</v>
      </c>
      <c r="E223" s="250">
        <v>360</v>
      </c>
      <c r="F223" s="249">
        <v>2</v>
      </c>
      <c r="G223" s="250">
        <v>720</v>
      </c>
      <c r="H223" s="249">
        <v>12</v>
      </c>
      <c r="I223" s="251">
        <v>2</v>
      </c>
      <c r="J223" s="249">
        <v>139</v>
      </c>
      <c r="K223" s="251">
        <v>35</v>
      </c>
      <c r="L223" s="108">
        <f t="shared" si="69"/>
        <v>174</v>
      </c>
      <c r="M223" s="108">
        <f t="shared" si="68"/>
        <v>348</v>
      </c>
      <c r="N223" s="252">
        <v>2</v>
      </c>
      <c r="O223" s="254">
        <v>2.16</v>
      </c>
    </row>
    <row r="224" spans="1:16" s="234" customFormat="1" ht="24">
      <c r="A224" s="101">
        <f t="shared" si="70"/>
        <v>7</v>
      </c>
      <c r="B224" s="139"/>
      <c r="C224" s="248" t="s">
        <v>887</v>
      </c>
      <c r="D224" s="108">
        <v>12</v>
      </c>
      <c r="E224" s="250">
        <v>144</v>
      </c>
      <c r="F224" s="108">
        <v>2</v>
      </c>
      <c r="G224" s="250">
        <v>288</v>
      </c>
      <c r="H224" s="249">
        <v>17</v>
      </c>
      <c r="I224" s="251">
        <v>1</v>
      </c>
      <c r="J224" s="249">
        <v>182</v>
      </c>
      <c r="K224" s="251">
        <v>50</v>
      </c>
      <c r="L224" s="108">
        <f t="shared" si="69"/>
        <v>232</v>
      </c>
      <c r="M224" s="108">
        <f t="shared" si="68"/>
        <v>232</v>
      </c>
      <c r="N224" s="252">
        <v>3</v>
      </c>
      <c r="O224" s="254">
        <v>1.91</v>
      </c>
    </row>
    <row r="225" spans="1:15" s="234" customFormat="1" ht="24">
      <c r="A225" s="101">
        <f t="shared" si="70"/>
        <v>8</v>
      </c>
      <c r="B225" s="139"/>
      <c r="C225" s="248" t="s">
        <v>888</v>
      </c>
      <c r="D225" s="249">
        <v>12</v>
      </c>
      <c r="E225" s="250">
        <v>240</v>
      </c>
      <c r="F225" s="249">
        <v>2</v>
      </c>
      <c r="G225" s="250">
        <v>480</v>
      </c>
      <c r="H225" s="249">
        <v>17</v>
      </c>
      <c r="I225" s="251">
        <v>1</v>
      </c>
      <c r="J225" s="249">
        <v>189</v>
      </c>
      <c r="K225" s="251">
        <v>36</v>
      </c>
      <c r="L225" s="108">
        <f t="shared" si="69"/>
        <v>225</v>
      </c>
      <c r="M225" s="108">
        <f t="shared" si="68"/>
        <v>225</v>
      </c>
      <c r="N225" s="252">
        <v>5</v>
      </c>
      <c r="O225" s="254">
        <v>1.89</v>
      </c>
    </row>
    <row r="226" spans="1:15" s="234" customFormat="1" ht="24">
      <c r="A226" s="101">
        <f t="shared" si="70"/>
        <v>9</v>
      </c>
      <c r="B226" s="139"/>
      <c r="C226" s="248" t="s">
        <v>889</v>
      </c>
      <c r="D226" s="249">
        <v>9</v>
      </c>
      <c r="E226" s="250">
        <v>90</v>
      </c>
      <c r="F226" s="249">
        <v>1</v>
      </c>
      <c r="G226" s="250">
        <v>90</v>
      </c>
      <c r="H226" s="249">
        <v>6</v>
      </c>
      <c r="I226" s="251">
        <v>1</v>
      </c>
      <c r="J226" s="249">
        <v>4</v>
      </c>
      <c r="K226" s="251">
        <v>54</v>
      </c>
      <c r="L226" s="108">
        <f t="shared" si="69"/>
        <v>58</v>
      </c>
      <c r="M226" s="108">
        <f>L226*I226</f>
        <v>58</v>
      </c>
      <c r="N226" s="252">
        <v>1.5</v>
      </c>
      <c r="O226" s="254">
        <v>0.68</v>
      </c>
    </row>
    <row r="227" spans="1:15" s="234" customFormat="1" ht="36">
      <c r="A227" s="101">
        <f t="shared" si="70"/>
        <v>10</v>
      </c>
      <c r="B227" s="139"/>
      <c r="C227" s="248" t="s">
        <v>890</v>
      </c>
      <c r="D227" s="249">
        <v>4</v>
      </c>
      <c r="E227" s="250">
        <v>120</v>
      </c>
      <c r="F227" s="249">
        <v>2</v>
      </c>
      <c r="G227" s="250">
        <v>240</v>
      </c>
      <c r="H227" s="249">
        <v>0</v>
      </c>
      <c r="I227" s="251">
        <v>0</v>
      </c>
      <c r="J227" s="249">
        <v>0</v>
      </c>
      <c r="K227" s="251">
        <v>0</v>
      </c>
      <c r="L227" s="108">
        <f t="shared" si="69"/>
        <v>0</v>
      </c>
      <c r="M227" s="108">
        <f t="shared" ref="M227:M229" si="71">L227*I227</f>
        <v>0</v>
      </c>
      <c r="N227" s="252">
        <v>2.5</v>
      </c>
      <c r="O227" s="254">
        <v>0</v>
      </c>
    </row>
    <row r="228" spans="1:15" s="234" customFormat="1">
      <c r="A228" s="101">
        <f t="shared" si="70"/>
        <v>11</v>
      </c>
      <c r="B228" s="139"/>
      <c r="C228" s="255" t="s">
        <v>891</v>
      </c>
      <c r="D228" s="249">
        <v>2</v>
      </c>
      <c r="E228" s="250">
        <v>60</v>
      </c>
      <c r="F228" s="249">
        <v>2</v>
      </c>
      <c r="G228" s="250">
        <v>120</v>
      </c>
      <c r="H228" s="249">
        <v>1</v>
      </c>
      <c r="I228" s="251">
        <v>1</v>
      </c>
      <c r="J228" s="249">
        <v>26</v>
      </c>
      <c r="K228" s="251">
        <v>1</v>
      </c>
      <c r="L228" s="108">
        <f t="shared" si="69"/>
        <v>27</v>
      </c>
      <c r="M228" s="108">
        <f t="shared" si="71"/>
        <v>27</v>
      </c>
      <c r="N228" s="252">
        <v>1</v>
      </c>
      <c r="O228" s="254">
        <v>0.31</v>
      </c>
    </row>
    <row r="229" spans="1:15" s="234" customFormat="1" ht="24">
      <c r="A229" s="101">
        <f t="shared" si="70"/>
        <v>12</v>
      </c>
      <c r="B229" s="139"/>
      <c r="C229" s="248" t="s">
        <v>938</v>
      </c>
      <c r="D229" s="256">
        <v>2</v>
      </c>
      <c r="E229" s="256">
        <v>30</v>
      </c>
      <c r="F229" s="256">
        <v>5</v>
      </c>
      <c r="G229" s="256">
        <v>150</v>
      </c>
      <c r="H229" s="249">
        <v>2</v>
      </c>
      <c r="I229" s="251">
        <v>4</v>
      </c>
      <c r="J229" s="249">
        <v>30</v>
      </c>
      <c r="K229" s="251">
        <v>0</v>
      </c>
      <c r="L229" s="108">
        <f t="shared" si="69"/>
        <v>30</v>
      </c>
      <c r="M229" s="108">
        <f t="shared" si="71"/>
        <v>120</v>
      </c>
      <c r="N229" s="257">
        <v>1.5</v>
      </c>
      <c r="O229" s="254">
        <v>0.85</v>
      </c>
    </row>
    <row r="230" spans="1:15" s="80" customFormat="1">
      <c r="A230" s="582"/>
      <c r="B230" s="941" t="s">
        <v>1285</v>
      </c>
      <c r="C230" s="941" t="s">
        <v>480</v>
      </c>
      <c r="D230" s="582">
        <f>SUM(D218:D229)</f>
        <v>408</v>
      </c>
      <c r="E230" s="582">
        <f t="shared" ref="E230:O230" si="72">SUM(E218:E229)</f>
        <v>12208</v>
      </c>
      <c r="F230" s="582">
        <f t="shared" si="72"/>
        <v>143</v>
      </c>
      <c r="G230" s="582">
        <f t="shared" si="72"/>
        <v>358740</v>
      </c>
      <c r="H230" s="582">
        <f t="shared" si="72"/>
        <v>424</v>
      </c>
      <c r="I230" s="582">
        <f t="shared" si="72"/>
        <v>111</v>
      </c>
      <c r="J230" s="582">
        <f t="shared" si="72"/>
        <v>667</v>
      </c>
      <c r="K230" s="582">
        <f t="shared" si="72"/>
        <v>9745</v>
      </c>
      <c r="L230" s="582">
        <f t="shared" si="72"/>
        <v>10412</v>
      </c>
      <c r="M230" s="582">
        <f t="shared" si="72"/>
        <v>296547</v>
      </c>
      <c r="N230" s="583">
        <f t="shared" si="72"/>
        <v>111.5</v>
      </c>
      <c r="O230" s="584">
        <f t="shared" si="72"/>
        <v>94.5</v>
      </c>
    </row>
    <row r="231" spans="1:15" ht="20.25">
      <c r="A231" s="181" t="s">
        <v>704</v>
      </c>
      <c r="B231" s="167"/>
      <c r="C231" s="167"/>
      <c r="D231" s="167"/>
      <c r="E231" s="167"/>
      <c r="F231" s="167"/>
      <c r="G231" s="167"/>
      <c r="H231" s="167"/>
      <c r="I231" s="167"/>
      <c r="J231" s="167"/>
      <c r="K231" s="167"/>
      <c r="L231" s="167"/>
      <c r="M231" s="167"/>
      <c r="N231" s="168"/>
      <c r="O231" s="168"/>
    </row>
    <row r="232" spans="1:15" s="234" customFormat="1">
      <c r="A232" s="192">
        <v>1</v>
      </c>
      <c r="B232" s="193"/>
      <c r="C232" s="244" t="s">
        <v>699</v>
      </c>
      <c r="D232" s="192"/>
      <c r="E232" s="192"/>
      <c r="F232" s="192"/>
      <c r="G232" s="192"/>
      <c r="H232" s="192">
        <v>1</v>
      </c>
      <c r="I232" s="192">
        <v>2</v>
      </c>
      <c r="J232" s="192">
        <f>420-38</f>
        <v>382</v>
      </c>
      <c r="K232" s="192">
        <v>38</v>
      </c>
      <c r="L232" s="192">
        <v>420</v>
      </c>
      <c r="M232" s="192">
        <f t="shared" ref="M232:M235" si="73">L232*I232</f>
        <v>840</v>
      </c>
      <c r="N232" s="245">
        <v>12.75</v>
      </c>
      <c r="O232" s="245">
        <v>12.75</v>
      </c>
    </row>
    <row r="233" spans="1:15" s="234" customFormat="1" ht="24">
      <c r="A233" s="246">
        <v>2</v>
      </c>
      <c r="B233" s="247"/>
      <c r="C233" s="244" t="s">
        <v>700</v>
      </c>
      <c r="D233" s="192"/>
      <c r="E233" s="192"/>
      <c r="F233" s="192"/>
      <c r="G233" s="192"/>
      <c r="H233" s="192">
        <v>2</v>
      </c>
      <c r="I233" s="192">
        <v>1</v>
      </c>
      <c r="J233" s="192">
        <v>61</v>
      </c>
      <c r="K233" s="192">
        <v>1</v>
      </c>
      <c r="L233" s="192">
        <f>J233+K233</f>
        <v>62</v>
      </c>
      <c r="M233" s="192">
        <f t="shared" si="73"/>
        <v>62</v>
      </c>
      <c r="N233" s="245">
        <v>3.64</v>
      </c>
      <c r="O233" s="245">
        <v>3.64</v>
      </c>
    </row>
    <row r="234" spans="1:15" s="234" customFormat="1" ht="48">
      <c r="A234" s="192">
        <v>3</v>
      </c>
      <c r="B234" s="247"/>
      <c r="C234" s="244" t="s">
        <v>701</v>
      </c>
      <c r="D234" s="192"/>
      <c r="E234" s="192"/>
      <c r="F234" s="192"/>
      <c r="G234" s="192"/>
      <c r="H234" s="192">
        <v>7</v>
      </c>
      <c r="I234" s="192">
        <v>2</v>
      </c>
      <c r="J234" s="192">
        <v>193</v>
      </c>
      <c r="K234" s="192">
        <v>17</v>
      </c>
      <c r="L234" s="192">
        <f>J234+K234</f>
        <v>210</v>
      </c>
      <c r="M234" s="192">
        <f t="shared" si="73"/>
        <v>420</v>
      </c>
      <c r="N234" s="245">
        <v>12.79</v>
      </c>
      <c r="O234" s="245">
        <v>12.79</v>
      </c>
    </row>
    <row r="235" spans="1:15" s="234" customFormat="1">
      <c r="A235" s="246">
        <v>4</v>
      </c>
      <c r="B235" s="247"/>
      <c r="C235" s="244" t="s">
        <v>702</v>
      </c>
      <c r="D235" s="192"/>
      <c r="E235" s="192"/>
      <c r="F235" s="192"/>
      <c r="G235" s="192"/>
      <c r="H235" s="192">
        <v>1</v>
      </c>
      <c r="I235" s="192">
        <v>2</v>
      </c>
      <c r="J235" s="192">
        <v>39</v>
      </c>
      <c r="K235" s="192">
        <v>2</v>
      </c>
      <c r="L235" s="192">
        <f t="shared" ref="L235" si="74">J235+K235</f>
        <v>41</v>
      </c>
      <c r="M235" s="192">
        <f t="shared" si="73"/>
        <v>82</v>
      </c>
      <c r="N235" s="245">
        <v>2.5299999999999998</v>
      </c>
      <c r="O235" s="245">
        <v>2.5299999999999998</v>
      </c>
    </row>
    <row r="236" spans="1:15" s="80" customFormat="1" ht="15" customHeight="1">
      <c r="A236" s="582"/>
      <c r="B236" s="941" t="s">
        <v>1286</v>
      </c>
      <c r="C236" s="941" t="s">
        <v>480</v>
      </c>
      <c r="D236" s="582"/>
      <c r="E236" s="582"/>
      <c r="F236" s="582"/>
      <c r="G236" s="582"/>
      <c r="H236" s="582">
        <f>SUM(H232:H235)</f>
        <v>11</v>
      </c>
      <c r="I236" s="582"/>
      <c r="J236" s="582">
        <f t="shared" ref="J236:O236" si="75">SUM(J232:J235)</f>
        <v>675</v>
      </c>
      <c r="K236" s="582">
        <f t="shared" si="75"/>
        <v>58</v>
      </c>
      <c r="L236" s="582">
        <f t="shared" si="75"/>
        <v>733</v>
      </c>
      <c r="M236" s="582">
        <f t="shared" si="75"/>
        <v>1404</v>
      </c>
      <c r="N236" s="583">
        <f t="shared" si="75"/>
        <v>31.71</v>
      </c>
      <c r="O236" s="584">
        <f t="shared" si="75"/>
        <v>31.71</v>
      </c>
    </row>
    <row r="237" spans="1:15" ht="18">
      <c r="A237" s="181" t="s">
        <v>333</v>
      </c>
      <c r="B237" s="164"/>
      <c r="C237" s="165"/>
      <c r="D237" s="164"/>
      <c r="E237" s="164"/>
      <c r="F237" s="164"/>
      <c r="G237" s="164"/>
      <c r="H237" s="164"/>
      <c r="I237" s="164"/>
      <c r="J237" s="164"/>
      <c r="K237" s="164"/>
      <c r="L237" s="164"/>
      <c r="M237" s="164"/>
      <c r="N237" s="166"/>
      <c r="O237" s="138"/>
    </row>
    <row r="238" spans="1:15" s="231" customFormat="1" ht="36">
      <c r="A238" s="101">
        <v>1</v>
      </c>
      <c r="B238" s="108" t="s">
        <v>104</v>
      </c>
      <c r="C238" s="96" t="s">
        <v>334</v>
      </c>
      <c r="D238" s="108">
        <v>6</v>
      </c>
      <c r="E238" s="108">
        <f>34+34+34</f>
        <v>102</v>
      </c>
      <c r="F238" s="108">
        <v>3</v>
      </c>
      <c r="G238" s="108">
        <f>E238*F238</f>
        <v>306</v>
      </c>
      <c r="H238" s="108">
        <v>6</v>
      </c>
      <c r="I238" s="108">
        <v>3</v>
      </c>
      <c r="J238" s="240">
        <f>25+27+26</f>
        <v>78</v>
      </c>
      <c r="K238" s="241">
        <f>9+7+8</f>
        <v>24</v>
      </c>
      <c r="L238" s="242">
        <f>J238+K238</f>
        <v>102</v>
      </c>
      <c r="M238" s="241">
        <f>L238*I238</f>
        <v>306</v>
      </c>
      <c r="N238" s="243">
        <f>1.927+1.865+2.63</f>
        <v>6.4219999999999997</v>
      </c>
      <c r="O238" s="243">
        <f>1.92+1.86+2.62</f>
        <v>6.4</v>
      </c>
    </row>
    <row r="239" spans="1:15" s="82" customFormat="1" ht="15" customHeight="1">
      <c r="A239" s="582"/>
      <c r="B239" s="941" t="s">
        <v>1287</v>
      </c>
      <c r="C239" s="941"/>
      <c r="D239" s="582">
        <f>SUM(D238)</f>
        <v>6</v>
      </c>
      <c r="E239" s="582">
        <f t="shared" ref="E239:O239" si="76">SUM(E238)</f>
        <v>102</v>
      </c>
      <c r="F239" s="582">
        <f t="shared" si="76"/>
        <v>3</v>
      </c>
      <c r="G239" s="582">
        <f t="shared" si="76"/>
        <v>306</v>
      </c>
      <c r="H239" s="582">
        <f t="shared" si="76"/>
        <v>6</v>
      </c>
      <c r="I239" s="582"/>
      <c r="J239" s="582">
        <f t="shared" si="76"/>
        <v>78</v>
      </c>
      <c r="K239" s="582">
        <f t="shared" si="76"/>
        <v>24</v>
      </c>
      <c r="L239" s="582">
        <f t="shared" si="76"/>
        <v>102</v>
      </c>
      <c r="M239" s="582">
        <f t="shared" si="76"/>
        <v>306</v>
      </c>
      <c r="N239" s="583">
        <f t="shared" si="76"/>
        <v>6.4219999999999997</v>
      </c>
      <c r="O239" s="584">
        <f t="shared" si="76"/>
        <v>6.4</v>
      </c>
    </row>
    <row r="240" spans="1:15" ht="20.25">
      <c r="A240" s="181" t="s">
        <v>84</v>
      </c>
      <c r="B240" s="167"/>
      <c r="C240" s="167"/>
      <c r="D240" s="167"/>
      <c r="E240" s="167"/>
      <c r="F240" s="167"/>
      <c r="G240" s="167"/>
      <c r="H240" s="167"/>
      <c r="I240" s="167"/>
      <c r="J240" s="167"/>
      <c r="K240" s="167"/>
      <c r="L240" s="167"/>
      <c r="M240" s="167"/>
      <c r="N240" s="168"/>
      <c r="O240" s="168"/>
    </row>
    <row r="241" spans="1:15" s="234" customFormat="1">
      <c r="A241" s="237">
        <v>1</v>
      </c>
      <c r="B241" s="237" t="s">
        <v>203</v>
      </c>
      <c r="C241" s="238" t="s">
        <v>396</v>
      </c>
      <c r="D241" s="237">
        <v>4</v>
      </c>
      <c r="E241" s="237">
        <v>140</v>
      </c>
      <c r="F241" s="237">
        <v>30</v>
      </c>
      <c r="G241" s="237">
        <v>4200</v>
      </c>
      <c r="H241" s="237">
        <v>4</v>
      </c>
      <c r="I241" s="237">
        <v>30</v>
      </c>
      <c r="J241" s="237">
        <v>128</v>
      </c>
      <c r="K241" s="237">
        <v>12</v>
      </c>
      <c r="L241" s="237">
        <v>140</v>
      </c>
      <c r="M241" s="237">
        <v>4200</v>
      </c>
      <c r="N241" s="146">
        <v>74</v>
      </c>
      <c r="O241" s="146">
        <v>72</v>
      </c>
    </row>
    <row r="242" spans="1:15" s="234" customFormat="1" ht="24">
      <c r="A242" s="237">
        <v>2</v>
      </c>
      <c r="B242" s="237" t="s">
        <v>397</v>
      </c>
      <c r="C242" s="239" t="s">
        <v>684</v>
      </c>
      <c r="D242" s="237">
        <v>3</v>
      </c>
      <c r="E242" s="237">
        <v>255</v>
      </c>
      <c r="F242" s="237">
        <v>1</v>
      </c>
      <c r="G242" s="237">
        <v>255</v>
      </c>
      <c r="H242" s="237">
        <v>3</v>
      </c>
      <c r="I242" s="237">
        <v>1</v>
      </c>
      <c r="J242" s="237">
        <v>255</v>
      </c>
      <c r="K242" s="237">
        <v>0</v>
      </c>
      <c r="L242" s="237">
        <v>255</v>
      </c>
      <c r="M242" s="237">
        <v>255</v>
      </c>
      <c r="N242" s="146">
        <v>3.82</v>
      </c>
      <c r="O242" s="146">
        <v>3.82</v>
      </c>
    </row>
    <row r="243" spans="1:15" s="234" customFormat="1" ht="24">
      <c r="A243" s="237">
        <v>3</v>
      </c>
      <c r="B243" s="237" t="s">
        <v>397</v>
      </c>
      <c r="C243" s="239" t="s">
        <v>684</v>
      </c>
      <c r="D243" s="237">
        <v>1</v>
      </c>
      <c r="E243" s="237">
        <v>180</v>
      </c>
      <c r="F243" s="237">
        <v>1</v>
      </c>
      <c r="G243" s="237">
        <v>180</v>
      </c>
      <c r="H243" s="237">
        <v>1</v>
      </c>
      <c r="I243" s="237">
        <v>1</v>
      </c>
      <c r="J243" s="237">
        <v>165</v>
      </c>
      <c r="K243" s="237">
        <v>15</v>
      </c>
      <c r="L243" s="237">
        <v>180</v>
      </c>
      <c r="M243" s="237">
        <v>180</v>
      </c>
      <c r="N243" s="146">
        <v>3.8</v>
      </c>
      <c r="O243" s="146">
        <v>3.8</v>
      </c>
    </row>
    <row r="244" spans="1:15" s="234" customFormat="1">
      <c r="A244" s="237">
        <v>4</v>
      </c>
      <c r="B244" s="237" t="s">
        <v>685</v>
      </c>
      <c r="C244" s="239" t="s">
        <v>686</v>
      </c>
      <c r="D244" s="237">
        <v>1</v>
      </c>
      <c r="E244" s="237">
        <v>70</v>
      </c>
      <c r="F244" s="237">
        <v>1</v>
      </c>
      <c r="G244" s="237">
        <v>70</v>
      </c>
      <c r="H244" s="237">
        <v>1</v>
      </c>
      <c r="I244" s="237">
        <v>1</v>
      </c>
      <c r="J244" s="237">
        <v>63</v>
      </c>
      <c r="K244" s="237">
        <v>7</v>
      </c>
      <c r="L244" s="237">
        <v>70</v>
      </c>
      <c r="M244" s="237">
        <v>70</v>
      </c>
      <c r="N244" s="146">
        <v>0.84</v>
      </c>
      <c r="O244" s="146">
        <v>0.78</v>
      </c>
    </row>
    <row r="245" spans="1:15" s="234" customFormat="1" ht="24">
      <c r="A245" s="237">
        <v>5</v>
      </c>
      <c r="B245" s="237" t="s">
        <v>687</v>
      </c>
      <c r="C245" s="239" t="s">
        <v>688</v>
      </c>
      <c r="D245" s="237">
        <v>3</v>
      </c>
      <c r="E245" s="237">
        <v>195</v>
      </c>
      <c r="F245" s="237">
        <v>1</v>
      </c>
      <c r="G245" s="237">
        <v>195</v>
      </c>
      <c r="H245" s="237">
        <v>3</v>
      </c>
      <c r="I245" s="237">
        <v>1</v>
      </c>
      <c r="J245" s="237">
        <v>195</v>
      </c>
      <c r="K245" s="237">
        <v>0</v>
      </c>
      <c r="L245" s="237">
        <v>195</v>
      </c>
      <c r="M245" s="237">
        <v>195</v>
      </c>
      <c r="N245" s="146">
        <v>1.05</v>
      </c>
      <c r="O245" s="146">
        <v>1.05</v>
      </c>
    </row>
    <row r="246" spans="1:15" s="234" customFormat="1" ht="24">
      <c r="A246" s="237">
        <v>6</v>
      </c>
      <c r="B246" s="237" t="s">
        <v>689</v>
      </c>
      <c r="C246" s="239" t="s">
        <v>690</v>
      </c>
      <c r="D246" s="237">
        <v>3</v>
      </c>
      <c r="E246" s="237">
        <v>309</v>
      </c>
      <c r="F246" s="237">
        <v>1</v>
      </c>
      <c r="G246" s="237">
        <v>309</v>
      </c>
      <c r="H246" s="237">
        <v>3</v>
      </c>
      <c r="I246" s="237">
        <v>1</v>
      </c>
      <c r="J246" s="237">
        <v>309</v>
      </c>
      <c r="K246" s="237">
        <v>0</v>
      </c>
      <c r="L246" s="237">
        <v>309</v>
      </c>
      <c r="M246" s="237">
        <v>309</v>
      </c>
      <c r="N246" s="146">
        <v>1.36</v>
      </c>
      <c r="O246" s="146">
        <v>1.36</v>
      </c>
    </row>
    <row r="247" spans="1:15" s="234" customFormat="1" ht="36">
      <c r="A247" s="237">
        <v>7</v>
      </c>
      <c r="B247" s="237" t="s">
        <v>399</v>
      </c>
      <c r="C247" s="239" t="s">
        <v>655</v>
      </c>
      <c r="D247" s="237">
        <v>46</v>
      </c>
      <c r="E247" s="237">
        <v>1932</v>
      </c>
      <c r="F247" s="237">
        <v>2</v>
      </c>
      <c r="G247" s="237">
        <v>3804</v>
      </c>
      <c r="H247" s="237">
        <v>46</v>
      </c>
      <c r="I247" s="237">
        <v>2</v>
      </c>
      <c r="J247" s="237">
        <v>1453</v>
      </c>
      <c r="K247" s="237">
        <v>403</v>
      </c>
      <c r="L247" s="237">
        <v>1856</v>
      </c>
      <c r="M247" s="237">
        <v>3712</v>
      </c>
      <c r="N247" s="146">
        <v>38.4</v>
      </c>
      <c r="O247" s="146">
        <v>61.5</v>
      </c>
    </row>
    <row r="248" spans="1:15" s="234" customFormat="1" ht="24">
      <c r="A248" s="237">
        <v>8</v>
      </c>
      <c r="B248" s="237" t="s">
        <v>400</v>
      </c>
      <c r="C248" s="239" t="s">
        <v>691</v>
      </c>
      <c r="D248" s="237">
        <v>3</v>
      </c>
      <c r="E248" s="237">
        <v>92</v>
      </c>
      <c r="F248" s="237">
        <v>2</v>
      </c>
      <c r="G248" s="237">
        <v>184</v>
      </c>
      <c r="H248" s="237">
        <v>3</v>
      </c>
      <c r="I248" s="237">
        <v>2</v>
      </c>
      <c r="J248" s="237">
        <v>78</v>
      </c>
      <c r="K248" s="237">
        <v>0</v>
      </c>
      <c r="L248" s="237">
        <v>78</v>
      </c>
      <c r="M248" s="237">
        <v>156</v>
      </c>
      <c r="N248" s="146">
        <v>1.96</v>
      </c>
      <c r="O248" s="146">
        <v>3.42</v>
      </c>
    </row>
    <row r="249" spans="1:15" s="80" customFormat="1">
      <c r="A249" s="582"/>
      <c r="B249" s="941" t="s">
        <v>1288</v>
      </c>
      <c r="C249" s="941"/>
      <c r="D249" s="582">
        <f>SUM(D241:D248)</f>
        <v>64</v>
      </c>
      <c r="E249" s="582">
        <f t="shared" ref="E249:O249" si="77">SUM(E241:E248)</f>
        <v>3173</v>
      </c>
      <c r="F249" s="582"/>
      <c r="G249" s="582">
        <f t="shared" si="77"/>
        <v>9197</v>
      </c>
      <c r="H249" s="582">
        <f t="shared" si="77"/>
        <v>64</v>
      </c>
      <c r="I249" s="582">
        <f t="shared" si="77"/>
        <v>39</v>
      </c>
      <c r="J249" s="582">
        <f t="shared" si="77"/>
        <v>2646</v>
      </c>
      <c r="K249" s="582">
        <f t="shared" si="77"/>
        <v>437</v>
      </c>
      <c r="L249" s="582">
        <f t="shared" si="77"/>
        <v>3083</v>
      </c>
      <c r="M249" s="582">
        <f t="shared" si="77"/>
        <v>9077</v>
      </c>
      <c r="N249" s="583">
        <f t="shared" si="77"/>
        <v>125.22999999999998</v>
      </c>
      <c r="O249" s="584">
        <f t="shared" si="77"/>
        <v>147.72999999999999</v>
      </c>
    </row>
    <row r="250" spans="1:15" ht="20.25">
      <c r="A250" s="181" t="s">
        <v>484</v>
      </c>
      <c r="B250" s="167"/>
      <c r="C250" s="167"/>
      <c r="D250" s="167"/>
      <c r="E250" s="167"/>
      <c r="F250" s="167"/>
      <c r="G250" s="167"/>
      <c r="H250" s="167"/>
      <c r="I250" s="167"/>
      <c r="J250" s="167"/>
      <c r="K250" s="167"/>
      <c r="L250" s="167"/>
      <c r="M250" s="167"/>
      <c r="N250" s="168"/>
      <c r="O250" s="168"/>
    </row>
    <row r="251" spans="1:15" s="234" customFormat="1" ht="36">
      <c r="A251" s="108">
        <v>1</v>
      </c>
      <c r="B251" s="235" t="s">
        <v>401</v>
      </c>
      <c r="C251" s="232" t="s">
        <v>232</v>
      </c>
      <c r="D251" s="108">
        <v>2</v>
      </c>
      <c r="E251" s="108">
        <v>60</v>
      </c>
      <c r="F251" s="108">
        <v>2</v>
      </c>
      <c r="G251" s="108">
        <v>120</v>
      </c>
      <c r="H251" s="256">
        <v>1</v>
      </c>
      <c r="I251" s="256">
        <v>2</v>
      </c>
      <c r="J251" s="256">
        <v>28</v>
      </c>
      <c r="K251" s="256">
        <v>0</v>
      </c>
      <c r="L251" s="256">
        <v>28</v>
      </c>
      <c r="M251" s="256">
        <v>56</v>
      </c>
      <c r="N251" s="149">
        <v>1.1499999999999999</v>
      </c>
      <c r="O251" s="299">
        <v>1.1499999999999999</v>
      </c>
    </row>
    <row r="252" spans="1:15" s="234" customFormat="1">
      <c r="A252" s="108">
        <f>A251+1</f>
        <v>2</v>
      </c>
      <c r="B252" s="235" t="s">
        <v>402</v>
      </c>
      <c r="C252" s="232" t="s">
        <v>233</v>
      </c>
      <c r="D252" s="108">
        <v>1</v>
      </c>
      <c r="E252" s="108">
        <v>28</v>
      </c>
      <c r="F252" s="108">
        <v>5</v>
      </c>
      <c r="G252" s="108">
        <v>140</v>
      </c>
      <c r="H252" s="256"/>
      <c r="I252" s="256"/>
      <c r="J252" s="256"/>
      <c r="K252" s="256"/>
      <c r="L252" s="256"/>
      <c r="M252" s="256"/>
      <c r="N252" s="149"/>
      <c r="O252" s="299"/>
    </row>
    <row r="253" spans="1:15" s="234" customFormat="1">
      <c r="A253" s="108">
        <f t="shared" ref="A253:A265" si="78">A252+1</f>
        <v>3</v>
      </c>
      <c r="B253" s="235" t="s">
        <v>403</v>
      </c>
      <c r="C253" s="232" t="s">
        <v>357</v>
      </c>
      <c r="D253" s="108">
        <v>93</v>
      </c>
      <c r="E253" s="108">
        <v>1395</v>
      </c>
      <c r="F253" s="108">
        <v>3</v>
      </c>
      <c r="G253" s="108">
        <v>4185</v>
      </c>
      <c r="H253" s="256">
        <v>76</v>
      </c>
      <c r="I253" s="256">
        <v>3</v>
      </c>
      <c r="J253" s="256">
        <v>0</v>
      </c>
      <c r="K253" s="256">
        <v>15</v>
      </c>
      <c r="L253" s="256">
        <v>15</v>
      </c>
      <c r="M253" s="256">
        <v>3420</v>
      </c>
      <c r="N253" s="149">
        <v>30.6</v>
      </c>
      <c r="O253" s="299">
        <v>25.01</v>
      </c>
    </row>
    <row r="254" spans="1:15" s="234" customFormat="1" ht="24">
      <c r="A254" s="108">
        <f t="shared" si="78"/>
        <v>4</v>
      </c>
      <c r="B254" s="235"/>
      <c r="C254" s="232" t="s">
        <v>581</v>
      </c>
      <c r="D254" s="108">
        <v>78</v>
      </c>
      <c r="E254" s="108">
        <v>1170</v>
      </c>
      <c r="F254" s="108">
        <v>2</v>
      </c>
      <c r="G254" s="108">
        <v>2340</v>
      </c>
      <c r="H254" s="108">
        <v>78</v>
      </c>
      <c r="I254" s="108">
        <v>2</v>
      </c>
      <c r="J254" s="108">
        <v>0</v>
      </c>
      <c r="K254" s="108">
        <v>15</v>
      </c>
      <c r="L254" s="108">
        <v>15</v>
      </c>
      <c r="M254" s="108">
        <v>2340</v>
      </c>
      <c r="N254" s="149">
        <v>18.21</v>
      </c>
      <c r="O254" s="149">
        <v>18.21</v>
      </c>
    </row>
    <row r="255" spans="1:15" s="234" customFormat="1">
      <c r="A255" s="108">
        <f t="shared" si="78"/>
        <v>5</v>
      </c>
      <c r="B255" s="235" t="s">
        <v>404</v>
      </c>
      <c r="C255" s="232" t="s">
        <v>358</v>
      </c>
      <c r="D255" s="108">
        <v>93</v>
      </c>
      <c r="E255" s="108">
        <v>1395</v>
      </c>
      <c r="F255" s="108">
        <v>1</v>
      </c>
      <c r="G255" s="108">
        <v>1395</v>
      </c>
      <c r="H255" s="256">
        <v>77</v>
      </c>
      <c r="I255" s="256">
        <v>1</v>
      </c>
      <c r="J255" s="256">
        <v>0</v>
      </c>
      <c r="K255" s="256">
        <v>15</v>
      </c>
      <c r="L255" s="256">
        <v>15</v>
      </c>
      <c r="M255" s="256">
        <v>1155</v>
      </c>
      <c r="N255" s="149">
        <v>13.21</v>
      </c>
      <c r="O255" s="299">
        <v>10.94</v>
      </c>
    </row>
    <row r="256" spans="1:15" s="234" customFormat="1">
      <c r="A256" s="108">
        <f t="shared" si="78"/>
        <v>6</v>
      </c>
      <c r="B256" s="235"/>
      <c r="C256" s="232" t="s">
        <v>582</v>
      </c>
      <c r="D256" s="108">
        <v>74</v>
      </c>
      <c r="E256" s="108">
        <v>1110</v>
      </c>
      <c r="F256" s="108">
        <v>2</v>
      </c>
      <c r="G256" s="108">
        <v>2220</v>
      </c>
      <c r="H256" s="108">
        <v>74</v>
      </c>
      <c r="I256" s="108">
        <v>2</v>
      </c>
      <c r="J256" s="108">
        <v>0</v>
      </c>
      <c r="K256" s="108">
        <v>15</v>
      </c>
      <c r="L256" s="108">
        <v>15</v>
      </c>
      <c r="M256" s="108">
        <v>2220</v>
      </c>
      <c r="N256" s="149">
        <v>18.21</v>
      </c>
      <c r="O256" s="149">
        <v>18.21</v>
      </c>
    </row>
    <row r="257" spans="1:15" s="234" customFormat="1" ht="24">
      <c r="A257" s="108">
        <f t="shared" si="78"/>
        <v>7</v>
      </c>
      <c r="B257" s="235" t="s">
        <v>405</v>
      </c>
      <c r="C257" s="232" t="s">
        <v>359</v>
      </c>
      <c r="D257" s="108">
        <v>93</v>
      </c>
      <c r="E257" s="108">
        <v>1395</v>
      </c>
      <c r="F257" s="108">
        <v>5</v>
      </c>
      <c r="G257" s="108">
        <v>6975</v>
      </c>
      <c r="H257" s="256">
        <v>50</v>
      </c>
      <c r="I257" s="256">
        <v>5</v>
      </c>
      <c r="J257" s="256">
        <v>0</v>
      </c>
      <c r="K257" s="256">
        <v>15</v>
      </c>
      <c r="L257" s="256">
        <v>15</v>
      </c>
      <c r="M257" s="256">
        <v>3750</v>
      </c>
      <c r="N257" s="149">
        <v>59.99</v>
      </c>
      <c r="O257" s="299">
        <v>32.25</v>
      </c>
    </row>
    <row r="258" spans="1:15" s="234" customFormat="1" ht="24">
      <c r="A258" s="108">
        <f t="shared" si="78"/>
        <v>8</v>
      </c>
      <c r="B258" s="235" t="s">
        <v>407</v>
      </c>
      <c r="C258" s="232" t="s">
        <v>361</v>
      </c>
      <c r="D258" s="108">
        <v>14</v>
      </c>
      <c r="E258" s="108">
        <v>105</v>
      </c>
      <c r="F258" s="108">
        <v>2</v>
      </c>
      <c r="G258" s="108">
        <v>560</v>
      </c>
      <c r="H258" s="108">
        <v>14</v>
      </c>
      <c r="I258" s="108">
        <v>2</v>
      </c>
      <c r="J258" s="108">
        <v>20</v>
      </c>
      <c r="K258" s="108">
        <v>0</v>
      </c>
      <c r="L258" s="108">
        <v>20</v>
      </c>
      <c r="M258" s="108">
        <v>560</v>
      </c>
      <c r="N258" s="149">
        <v>4.2699999999999996</v>
      </c>
      <c r="O258" s="149">
        <v>4.2699999999999996</v>
      </c>
    </row>
    <row r="259" spans="1:15" s="234" customFormat="1" ht="24">
      <c r="A259" s="108">
        <f t="shared" si="78"/>
        <v>9</v>
      </c>
      <c r="B259" s="235" t="s">
        <v>406</v>
      </c>
      <c r="C259" s="232" t="s">
        <v>360</v>
      </c>
      <c r="D259" s="108">
        <v>21</v>
      </c>
      <c r="E259" s="108">
        <v>105</v>
      </c>
      <c r="F259" s="108">
        <v>4</v>
      </c>
      <c r="G259" s="108">
        <v>420</v>
      </c>
      <c r="H259" s="108">
        <v>0</v>
      </c>
      <c r="I259" s="108">
        <v>0</v>
      </c>
      <c r="J259" s="108">
        <v>0</v>
      </c>
      <c r="K259" s="108">
        <v>0</v>
      </c>
      <c r="L259" s="108">
        <v>0</v>
      </c>
      <c r="M259" s="108">
        <v>0</v>
      </c>
      <c r="N259" s="149">
        <v>0</v>
      </c>
      <c r="O259" s="149">
        <v>0</v>
      </c>
    </row>
    <row r="260" spans="1:15" s="234" customFormat="1" ht="26.25" customHeight="1">
      <c r="A260" s="108">
        <f t="shared" si="78"/>
        <v>10</v>
      </c>
      <c r="C260" s="232" t="s">
        <v>361</v>
      </c>
      <c r="D260" s="260">
        <v>21</v>
      </c>
      <c r="E260" s="260">
        <v>105</v>
      </c>
      <c r="F260" s="260">
        <v>2</v>
      </c>
      <c r="G260" s="260">
        <v>210</v>
      </c>
      <c r="H260" s="108">
        <v>0</v>
      </c>
      <c r="I260" s="108">
        <v>0</v>
      </c>
      <c r="J260" s="108">
        <v>0</v>
      </c>
      <c r="K260" s="108">
        <v>0</v>
      </c>
      <c r="L260" s="108">
        <v>0</v>
      </c>
      <c r="M260" s="108">
        <v>0</v>
      </c>
      <c r="N260" s="149">
        <v>0</v>
      </c>
      <c r="O260" s="149">
        <v>0</v>
      </c>
    </row>
    <row r="261" spans="1:15" s="234" customFormat="1" ht="26.25" customHeight="1">
      <c r="A261" s="108">
        <f t="shared" si="78"/>
        <v>11</v>
      </c>
      <c r="C261" s="297" t="s">
        <v>1206</v>
      </c>
      <c r="D261" s="260">
        <v>15</v>
      </c>
      <c r="E261" s="260">
        <v>75</v>
      </c>
      <c r="F261" s="260">
        <v>1</v>
      </c>
      <c r="G261" s="260">
        <v>75</v>
      </c>
      <c r="H261" s="108">
        <v>0</v>
      </c>
      <c r="I261" s="108">
        <v>0</v>
      </c>
      <c r="J261" s="108">
        <v>0</v>
      </c>
      <c r="K261" s="108">
        <v>0</v>
      </c>
      <c r="L261" s="108">
        <v>0</v>
      </c>
      <c r="M261" s="108">
        <v>0</v>
      </c>
      <c r="N261" s="149">
        <v>0</v>
      </c>
      <c r="O261" s="149">
        <v>0</v>
      </c>
    </row>
    <row r="262" spans="1:15" s="234" customFormat="1" ht="26.25" customHeight="1">
      <c r="A262" s="108">
        <f t="shared" si="78"/>
        <v>12</v>
      </c>
      <c r="B262" s="235"/>
      <c r="C262" s="232" t="s">
        <v>10</v>
      </c>
      <c r="D262" s="108">
        <v>1</v>
      </c>
      <c r="E262" s="108">
        <v>24</v>
      </c>
      <c r="F262" s="108">
        <v>5</v>
      </c>
      <c r="G262" s="108">
        <v>120</v>
      </c>
      <c r="H262" s="108">
        <v>1</v>
      </c>
      <c r="I262" s="108">
        <v>5</v>
      </c>
      <c r="J262" s="108">
        <v>16</v>
      </c>
      <c r="K262" s="108">
        <v>6</v>
      </c>
      <c r="L262" s="108">
        <v>22</v>
      </c>
      <c r="M262" s="108">
        <v>110</v>
      </c>
      <c r="N262" s="149">
        <v>0.64</v>
      </c>
      <c r="O262" s="149">
        <v>0.64</v>
      </c>
    </row>
    <row r="263" spans="1:15" s="234" customFormat="1" ht="26.25" customHeight="1">
      <c r="A263" s="108">
        <f t="shared" si="78"/>
        <v>13</v>
      </c>
      <c r="B263" s="235"/>
      <c r="C263" s="232" t="s">
        <v>583</v>
      </c>
      <c r="D263" s="258">
        <v>2</v>
      </c>
      <c r="E263" s="258">
        <v>70</v>
      </c>
      <c r="F263" s="258">
        <v>30</v>
      </c>
      <c r="G263" s="258">
        <v>2100</v>
      </c>
      <c r="H263" s="108">
        <v>2</v>
      </c>
      <c r="I263" s="108">
        <v>30</v>
      </c>
      <c r="J263" s="258">
        <v>65</v>
      </c>
      <c r="K263" s="108">
        <v>5</v>
      </c>
      <c r="L263" s="108">
        <v>70</v>
      </c>
      <c r="M263" s="108">
        <v>2100</v>
      </c>
      <c r="N263" s="149">
        <v>36</v>
      </c>
      <c r="O263" s="149">
        <v>36</v>
      </c>
    </row>
    <row r="264" spans="1:15" s="234" customFormat="1" ht="26.25" customHeight="1">
      <c r="A264" s="108">
        <f t="shared" si="78"/>
        <v>14</v>
      </c>
      <c r="B264" s="235"/>
      <c r="C264" s="232" t="s">
        <v>1207</v>
      </c>
      <c r="D264" s="108">
        <v>1</v>
      </c>
      <c r="E264" s="108">
        <v>16</v>
      </c>
      <c r="F264" s="108">
        <v>4</v>
      </c>
      <c r="G264" s="108">
        <v>64</v>
      </c>
      <c r="H264" s="108">
        <v>1</v>
      </c>
      <c r="I264" s="108">
        <v>4</v>
      </c>
      <c r="J264" s="108">
        <v>16</v>
      </c>
      <c r="K264" s="108">
        <v>0</v>
      </c>
      <c r="L264" s="108">
        <v>16</v>
      </c>
      <c r="M264" s="108">
        <v>64</v>
      </c>
      <c r="N264" s="149">
        <v>2.4</v>
      </c>
      <c r="O264" s="149">
        <v>2.4</v>
      </c>
    </row>
    <row r="265" spans="1:15">
      <c r="A265" s="108">
        <f t="shared" si="78"/>
        <v>15</v>
      </c>
      <c r="C265" s="297" t="s">
        <v>1208</v>
      </c>
      <c r="D265" s="260">
        <v>6</v>
      </c>
      <c r="E265" s="260">
        <v>168</v>
      </c>
      <c r="F265" s="260">
        <v>5</v>
      </c>
      <c r="G265" s="260">
        <v>840</v>
      </c>
      <c r="H265" s="260">
        <v>6</v>
      </c>
      <c r="I265" s="260">
        <v>5</v>
      </c>
      <c r="J265" s="260">
        <v>25</v>
      </c>
      <c r="K265" s="260">
        <v>3</v>
      </c>
      <c r="L265" s="260">
        <v>28</v>
      </c>
      <c r="M265" s="260">
        <v>840</v>
      </c>
      <c r="N265" s="298">
        <v>13.84</v>
      </c>
      <c r="O265" s="300">
        <v>13.84</v>
      </c>
    </row>
    <row r="266" spans="1:15" s="80" customFormat="1">
      <c r="A266" s="582"/>
      <c r="B266" s="941" t="s">
        <v>1289</v>
      </c>
      <c r="C266" s="941" t="s">
        <v>485</v>
      </c>
      <c r="D266" s="582">
        <f t="shared" ref="D266:O266" si="79">SUM(D251:D265)</f>
        <v>515</v>
      </c>
      <c r="E266" s="582">
        <f t="shared" si="79"/>
        <v>7221</v>
      </c>
      <c r="F266" s="582">
        <f t="shared" si="79"/>
        <v>73</v>
      </c>
      <c r="G266" s="582">
        <f t="shared" si="79"/>
        <v>21764</v>
      </c>
      <c r="H266" s="582">
        <f t="shared" si="79"/>
        <v>380</v>
      </c>
      <c r="I266" s="582">
        <f t="shared" si="79"/>
        <v>61</v>
      </c>
      <c r="J266" s="582">
        <f t="shared" si="79"/>
        <v>170</v>
      </c>
      <c r="K266" s="582">
        <f t="shared" si="79"/>
        <v>89</v>
      </c>
      <c r="L266" s="582">
        <f t="shared" si="79"/>
        <v>259</v>
      </c>
      <c r="M266" s="582">
        <f t="shared" si="79"/>
        <v>16615</v>
      </c>
      <c r="N266" s="583">
        <f t="shared" si="79"/>
        <v>198.52</v>
      </c>
      <c r="O266" s="584">
        <f t="shared" si="79"/>
        <v>162.92000000000002</v>
      </c>
    </row>
    <row r="267" spans="1:15" ht="18">
      <c r="A267" s="181" t="s">
        <v>486</v>
      </c>
      <c r="B267" s="170"/>
      <c r="C267" s="171"/>
      <c r="D267" s="170"/>
      <c r="E267" s="172"/>
      <c r="F267" s="172"/>
      <c r="G267" s="172"/>
      <c r="H267" s="172"/>
      <c r="I267" s="172"/>
      <c r="J267" s="173"/>
      <c r="K267" s="172"/>
      <c r="L267" s="170"/>
      <c r="M267" s="170"/>
      <c r="N267" s="170"/>
      <c r="O267" s="170"/>
    </row>
    <row r="268" spans="1:15">
      <c r="A268" s="108"/>
      <c r="B268" s="954" t="s">
        <v>487</v>
      </c>
      <c r="C268" s="954"/>
      <c r="D268" s="954"/>
      <c r="E268" s="954"/>
      <c r="F268" s="108"/>
      <c r="G268" s="108"/>
      <c r="H268" s="108"/>
      <c r="I268" s="108"/>
      <c r="J268" s="108"/>
      <c r="K268" s="108"/>
      <c r="L268" s="108"/>
      <c r="M268" s="108"/>
      <c r="N268" s="109"/>
      <c r="O268" s="109"/>
    </row>
    <row r="269" spans="1:15" ht="24">
      <c r="A269" s="235">
        <v>1</v>
      </c>
      <c r="B269" s="235">
        <v>11</v>
      </c>
      <c r="C269" s="232" t="s">
        <v>86</v>
      </c>
      <c r="D269" s="235">
        <v>20</v>
      </c>
      <c r="E269" s="235"/>
      <c r="F269" s="235">
        <v>1</v>
      </c>
      <c r="G269" s="235"/>
      <c r="H269" s="235">
        <v>16</v>
      </c>
      <c r="I269" s="235">
        <v>1</v>
      </c>
      <c r="J269" s="235">
        <f>16*25</f>
        <v>400</v>
      </c>
      <c r="K269" s="235">
        <v>80</v>
      </c>
      <c r="L269" s="235">
        <f>SUM(J269:K269)</f>
        <v>480</v>
      </c>
      <c r="M269" s="235">
        <f>L269*I269</f>
        <v>480</v>
      </c>
      <c r="N269" s="268">
        <v>5</v>
      </c>
      <c r="O269" s="268">
        <v>4.7</v>
      </c>
    </row>
    <row r="270" spans="1:15" ht="24">
      <c r="A270" s="235">
        <v>2</v>
      </c>
      <c r="B270" s="235">
        <v>17</v>
      </c>
      <c r="C270" s="232" t="s">
        <v>87</v>
      </c>
      <c r="D270" s="235">
        <v>45</v>
      </c>
      <c r="E270" s="235">
        <v>30</v>
      </c>
      <c r="F270" s="235">
        <v>1</v>
      </c>
      <c r="G270" s="235">
        <f>D270*E270*F270</f>
        <v>1350</v>
      </c>
      <c r="H270" s="235">
        <v>25</v>
      </c>
      <c r="I270" s="235">
        <v>1</v>
      </c>
      <c r="J270" s="235">
        <v>1289</v>
      </c>
      <c r="K270" s="235">
        <v>17</v>
      </c>
      <c r="L270" s="235">
        <f>SUM(J270:K270)</f>
        <v>1306</v>
      </c>
      <c r="M270" s="235">
        <f>L270*I270</f>
        <v>1306</v>
      </c>
      <c r="N270" s="268">
        <v>12</v>
      </c>
      <c r="O270" s="268">
        <v>2.4</v>
      </c>
    </row>
    <row r="271" spans="1:15" ht="24">
      <c r="A271" s="235">
        <v>3</v>
      </c>
      <c r="B271" s="235">
        <v>18</v>
      </c>
      <c r="C271" s="232" t="s">
        <v>1141</v>
      </c>
      <c r="D271" s="235">
        <v>6</v>
      </c>
      <c r="E271" s="235">
        <v>30</v>
      </c>
      <c r="F271" s="235">
        <v>1</v>
      </c>
      <c r="G271" s="235">
        <f t="shared" ref="G271:G272" si="80">D271*E271*F271</f>
        <v>180</v>
      </c>
      <c r="H271" s="235">
        <v>5</v>
      </c>
      <c r="I271" s="235">
        <v>1</v>
      </c>
      <c r="J271" s="235">
        <v>135</v>
      </c>
      <c r="K271" s="235">
        <v>22</v>
      </c>
      <c r="L271" s="235">
        <f>SUM(J271:K271)</f>
        <v>157</v>
      </c>
      <c r="M271" s="235">
        <f t="shared" ref="M271:M272" si="81">L271*I271</f>
        <v>157</v>
      </c>
      <c r="N271" s="268">
        <v>6.5</v>
      </c>
      <c r="O271" s="268">
        <v>5.4</v>
      </c>
    </row>
    <row r="272" spans="1:15" ht="60">
      <c r="A272" s="235">
        <v>4</v>
      </c>
      <c r="B272" s="235" t="s">
        <v>1163</v>
      </c>
      <c r="C272" s="232" t="s">
        <v>1164</v>
      </c>
      <c r="D272" s="235">
        <v>10</v>
      </c>
      <c r="E272" s="235">
        <v>40</v>
      </c>
      <c r="F272" s="235">
        <v>1</v>
      </c>
      <c r="G272" s="235">
        <f t="shared" si="80"/>
        <v>400</v>
      </c>
      <c r="H272" s="235"/>
      <c r="I272" s="235"/>
      <c r="J272" s="235"/>
      <c r="K272" s="235"/>
      <c r="L272" s="235">
        <f>SUM(J272:K272)</f>
        <v>0</v>
      </c>
      <c r="M272" s="235">
        <f t="shared" si="81"/>
        <v>0</v>
      </c>
      <c r="N272" s="268">
        <v>7.25</v>
      </c>
      <c r="O272" s="268">
        <v>0</v>
      </c>
    </row>
    <row r="273" spans="1:15" s="80" customFormat="1">
      <c r="A273" s="189"/>
      <c r="B273" s="189" t="s">
        <v>209</v>
      </c>
      <c r="C273" s="190"/>
      <c r="D273" s="189">
        <f>SUM(D269:D272)</f>
        <v>81</v>
      </c>
      <c r="E273" s="189">
        <f t="shared" ref="E273:N273" si="82">SUM(E269:E272)</f>
        <v>100</v>
      </c>
      <c r="F273" s="189">
        <f t="shared" si="82"/>
        <v>4</v>
      </c>
      <c r="G273" s="189">
        <f t="shared" si="82"/>
        <v>1930</v>
      </c>
      <c r="H273" s="189">
        <f t="shared" si="82"/>
        <v>46</v>
      </c>
      <c r="I273" s="189">
        <f t="shared" si="82"/>
        <v>3</v>
      </c>
      <c r="J273" s="189">
        <f t="shared" si="82"/>
        <v>1824</v>
      </c>
      <c r="K273" s="189">
        <f t="shared" si="82"/>
        <v>119</v>
      </c>
      <c r="L273" s="189">
        <f t="shared" si="82"/>
        <v>1943</v>
      </c>
      <c r="M273" s="189">
        <f t="shared" si="82"/>
        <v>1943</v>
      </c>
      <c r="N273" s="227">
        <f t="shared" si="82"/>
        <v>30.75</v>
      </c>
      <c r="O273" s="227">
        <f>SUM(O269:O272)</f>
        <v>12.5</v>
      </c>
    </row>
    <row r="274" spans="1:15">
      <c r="A274" s="108"/>
      <c r="B274" s="954" t="s">
        <v>488</v>
      </c>
      <c r="C274" s="954"/>
      <c r="D274" s="954"/>
      <c r="E274" s="954"/>
      <c r="F274" s="108"/>
      <c r="G274" s="108"/>
      <c r="H274" s="108"/>
      <c r="I274" s="108"/>
      <c r="J274" s="108"/>
      <c r="K274" s="108"/>
      <c r="L274" s="108"/>
      <c r="M274" s="108"/>
      <c r="N274" s="109"/>
      <c r="O274" s="149"/>
    </row>
    <row r="275" spans="1:15" ht="60">
      <c r="A275" s="235">
        <v>5</v>
      </c>
      <c r="B275" s="235"/>
      <c r="C275" s="232" t="s">
        <v>241</v>
      </c>
      <c r="D275" s="235">
        <v>1</v>
      </c>
      <c r="E275" s="235">
        <v>20</v>
      </c>
      <c r="F275" s="235">
        <v>3</v>
      </c>
      <c r="G275" s="235">
        <f t="shared" ref="G275:G282" si="83">D275*E275*F275</f>
        <v>60</v>
      </c>
      <c r="H275" s="235"/>
      <c r="I275" s="235"/>
      <c r="J275" s="235"/>
      <c r="K275" s="235"/>
      <c r="L275" s="235"/>
      <c r="M275" s="235"/>
      <c r="N275" s="268">
        <v>1.5</v>
      </c>
      <c r="O275" s="268">
        <v>0</v>
      </c>
    </row>
    <row r="276" spans="1:15" ht="24">
      <c r="A276" s="235">
        <v>6</v>
      </c>
      <c r="B276" s="235">
        <v>21</v>
      </c>
      <c r="C276" s="232" t="s">
        <v>243</v>
      </c>
      <c r="D276" s="235">
        <v>3</v>
      </c>
      <c r="E276" s="235">
        <v>25</v>
      </c>
      <c r="F276" s="235">
        <v>2</v>
      </c>
      <c r="G276" s="235">
        <f t="shared" si="83"/>
        <v>150</v>
      </c>
      <c r="H276" s="235"/>
      <c r="I276" s="235"/>
      <c r="J276" s="235"/>
      <c r="K276" s="235"/>
      <c r="L276" s="235"/>
      <c r="M276" s="235"/>
      <c r="N276" s="268">
        <v>2.25</v>
      </c>
      <c r="O276" s="268"/>
    </row>
    <row r="277" spans="1:15" ht="24">
      <c r="A277" s="235">
        <v>7</v>
      </c>
      <c r="B277" s="235">
        <v>25</v>
      </c>
      <c r="C277" s="232" t="s">
        <v>88</v>
      </c>
      <c r="D277" s="235">
        <v>10</v>
      </c>
      <c r="E277" s="235">
        <v>25</v>
      </c>
      <c r="F277" s="235">
        <v>1</v>
      </c>
      <c r="G277" s="235">
        <f t="shared" si="83"/>
        <v>250</v>
      </c>
      <c r="H277" s="235">
        <v>7</v>
      </c>
      <c r="I277" s="235">
        <v>1</v>
      </c>
      <c r="J277" s="235">
        <v>232</v>
      </c>
      <c r="K277" s="235">
        <v>7</v>
      </c>
      <c r="L277" s="235">
        <f>SUM(J277:K277)</f>
        <v>239</v>
      </c>
      <c r="M277" s="235">
        <f>L277*I277</f>
        <v>239</v>
      </c>
      <c r="N277" s="268">
        <v>6.7</v>
      </c>
      <c r="O277" s="268">
        <v>7.2</v>
      </c>
    </row>
    <row r="278" spans="1:15" ht="72">
      <c r="A278" s="235">
        <v>8</v>
      </c>
      <c r="B278" s="235" t="s">
        <v>1165</v>
      </c>
      <c r="C278" s="232" t="s">
        <v>245</v>
      </c>
      <c r="D278" s="235">
        <v>3</v>
      </c>
      <c r="E278" s="235">
        <v>30</v>
      </c>
      <c r="F278" s="235">
        <v>3</v>
      </c>
      <c r="G278" s="235">
        <f t="shared" si="83"/>
        <v>270</v>
      </c>
      <c r="H278" s="235">
        <v>2</v>
      </c>
      <c r="I278" s="235">
        <v>3</v>
      </c>
      <c r="J278" s="235"/>
      <c r="K278" s="235"/>
      <c r="L278" s="235"/>
      <c r="M278" s="235">
        <f t="shared" ref="M278:M282" si="84">L278*I278</f>
        <v>0</v>
      </c>
      <c r="N278" s="268">
        <v>7.7</v>
      </c>
      <c r="O278" s="268">
        <v>3.1</v>
      </c>
    </row>
    <row r="279" spans="1:15" ht="24">
      <c r="A279" s="235">
        <v>9</v>
      </c>
      <c r="B279" s="235">
        <v>29</v>
      </c>
      <c r="C279" s="232" t="s">
        <v>89</v>
      </c>
      <c r="D279" s="235">
        <v>3</v>
      </c>
      <c r="E279" s="235">
        <v>30</v>
      </c>
      <c r="F279" s="235">
        <v>3</v>
      </c>
      <c r="G279" s="235">
        <f t="shared" si="83"/>
        <v>270</v>
      </c>
      <c r="H279" s="235">
        <v>2</v>
      </c>
      <c r="I279" s="235">
        <v>3</v>
      </c>
      <c r="J279" s="235">
        <v>57</v>
      </c>
      <c r="K279" s="235">
        <v>4</v>
      </c>
      <c r="L279" s="235">
        <f>SUM(J279:K279)</f>
        <v>61</v>
      </c>
      <c r="M279" s="235">
        <f>L279*I279</f>
        <v>183</v>
      </c>
      <c r="N279" s="268">
        <v>5.8</v>
      </c>
      <c r="O279" s="268">
        <v>2.5</v>
      </c>
    </row>
    <row r="280" spans="1:15">
      <c r="A280" s="235">
        <v>10</v>
      </c>
      <c r="B280" s="235">
        <v>30</v>
      </c>
      <c r="C280" s="232" t="s">
        <v>90</v>
      </c>
      <c r="D280" s="235">
        <v>50</v>
      </c>
      <c r="E280" s="235">
        <v>100</v>
      </c>
      <c r="F280" s="235">
        <v>1</v>
      </c>
      <c r="G280" s="235">
        <f t="shared" si="83"/>
        <v>5000</v>
      </c>
      <c r="H280" s="235">
        <v>41</v>
      </c>
      <c r="I280" s="235">
        <v>1</v>
      </c>
      <c r="J280" s="235">
        <v>5490</v>
      </c>
      <c r="K280" s="235">
        <v>1195</v>
      </c>
      <c r="L280" s="235">
        <f>SUM(J280:K280)</f>
        <v>6685</v>
      </c>
      <c r="M280" s="235">
        <f t="shared" si="84"/>
        <v>6685</v>
      </c>
      <c r="N280" s="268">
        <v>27</v>
      </c>
      <c r="O280" s="268">
        <v>27.87</v>
      </c>
    </row>
    <row r="281" spans="1:15">
      <c r="A281" s="235">
        <v>11</v>
      </c>
      <c r="B281" s="235">
        <v>31</v>
      </c>
      <c r="C281" s="232" t="s">
        <v>198</v>
      </c>
      <c r="D281" s="235">
        <v>30</v>
      </c>
      <c r="E281" s="235">
        <v>21</v>
      </c>
      <c r="F281" s="235">
        <v>1</v>
      </c>
      <c r="G281" s="235">
        <f t="shared" si="83"/>
        <v>630</v>
      </c>
      <c r="H281" s="235">
        <v>5</v>
      </c>
      <c r="I281" s="235">
        <v>1</v>
      </c>
      <c r="J281" s="235">
        <v>40</v>
      </c>
      <c r="K281" s="235">
        <v>20</v>
      </c>
      <c r="L281" s="235">
        <f>SUM(J281:K281)</f>
        <v>60</v>
      </c>
      <c r="M281" s="235">
        <f>L281*I281</f>
        <v>60</v>
      </c>
      <c r="N281" s="268">
        <v>3.15</v>
      </c>
      <c r="O281" s="268">
        <v>1.2</v>
      </c>
    </row>
    <row r="282" spans="1:15" ht="36">
      <c r="A282" s="235">
        <v>12</v>
      </c>
      <c r="B282" s="235"/>
      <c r="C282" s="232" t="s">
        <v>1142</v>
      </c>
      <c r="D282" s="235"/>
      <c r="E282" s="235"/>
      <c r="F282" s="235"/>
      <c r="G282" s="235">
        <f t="shared" si="83"/>
        <v>0</v>
      </c>
      <c r="H282" s="235">
        <v>2</v>
      </c>
      <c r="I282" s="235">
        <v>1</v>
      </c>
      <c r="J282" s="235">
        <v>41</v>
      </c>
      <c r="K282" s="235">
        <v>2</v>
      </c>
      <c r="L282" s="235">
        <f>SUM(J282:K282)</f>
        <v>43</v>
      </c>
      <c r="M282" s="235">
        <f t="shared" si="84"/>
        <v>43</v>
      </c>
      <c r="N282" s="268"/>
      <c r="O282" s="268">
        <v>2</v>
      </c>
    </row>
    <row r="283" spans="1:15">
      <c r="A283" s="189"/>
      <c r="B283" s="189" t="s">
        <v>209</v>
      </c>
      <c r="C283" s="190"/>
      <c r="D283" s="230">
        <f t="shared" ref="D283:N283" si="85">SUM(D275:D282)</f>
        <v>100</v>
      </c>
      <c r="E283" s="230">
        <f t="shared" si="85"/>
        <v>251</v>
      </c>
      <c r="F283" s="230">
        <f t="shared" si="85"/>
        <v>14</v>
      </c>
      <c r="G283" s="230">
        <f t="shared" si="85"/>
        <v>6630</v>
      </c>
      <c r="H283" s="230">
        <f t="shared" si="85"/>
        <v>59</v>
      </c>
      <c r="I283" s="230">
        <f t="shared" si="85"/>
        <v>10</v>
      </c>
      <c r="J283" s="230">
        <f>SUM(J275:J282)</f>
        <v>5860</v>
      </c>
      <c r="K283" s="230">
        <f t="shared" ref="K283:M283" si="86">SUM(K275:K282)</f>
        <v>1228</v>
      </c>
      <c r="L283" s="230">
        <f t="shared" si="86"/>
        <v>7088</v>
      </c>
      <c r="M283" s="230">
        <f t="shared" si="86"/>
        <v>7210</v>
      </c>
      <c r="N283" s="227">
        <f t="shared" si="85"/>
        <v>54.1</v>
      </c>
      <c r="O283" s="227">
        <f>SUM(O275:O282)</f>
        <v>43.870000000000005</v>
      </c>
    </row>
    <row r="284" spans="1:15">
      <c r="A284" s="108"/>
      <c r="B284" s="954" t="s">
        <v>489</v>
      </c>
      <c r="C284" s="954"/>
      <c r="D284" s="954"/>
      <c r="E284" s="954"/>
      <c r="F284" s="147"/>
      <c r="G284" s="108"/>
      <c r="H284" s="108"/>
      <c r="I284" s="108"/>
      <c r="J284" s="108"/>
      <c r="K284" s="108"/>
      <c r="L284" s="108"/>
      <c r="M284" s="108"/>
      <c r="N284" s="140"/>
      <c r="O284" s="149"/>
    </row>
    <row r="285" spans="1:15" customFormat="1" ht="24">
      <c r="A285" s="235">
        <v>13</v>
      </c>
      <c r="B285" s="235">
        <v>34</v>
      </c>
      <c r="C285" s="232" t="s">
        <v>249</v>
      </c>
      <c r="D285" s="235">
        <v>20</v>
      </c>
      <c r="E285" s="235">
        <v>39</v>
      </c>
      <c r="F285" s="235">
        <v>2</v>
      </c>
      <c r="G285" s="235">
        <f t="shared" ref="G285:G288" si="87">D285*E285*F285</f>
        <v>1560</v>
      </c>
      <c r="H285" s="235">
        <v>21</v>
      </c>
      <c r="I285" s="235">
        <v>1</v>
      </c>
      <c r="J285" s="235">
        <v>9</v>
      </c>
      <c r="K285" s="235">
        <v>3</v>
      </c>
      <c r="L285" s="235">
        <f>SUM(J285:K285)</f>
        <v>12</v>
      </c>
      <c r="M285" s="235">
        <f>L285*I285</f>
        <v>12</v>
      </c>
      <c r="N285" s="268">
        <v>15</v>
      </c>
      <c r="O285" s="268">
        <v>15.5</v>
      </c>
    </row>
    <row r="286" spans="1:15" customFormat="1" ht="24">
      <c r="A286" s="235">
        <v>14</v>
      </c>
      <c r="B286" s="235">
        <v>37</v>
      </c>
      <c r="C286" s="232" t="s">
        <v>251</v>
      </c>
      <c r="D286" s="235">
        <v>10</v>
      </c>
      <c r="E286" s="235">
        <v>24</v>
      </c>
      <c r="F286" s="235">
        <v>4</v>
      </c>
      <c r="G286" s="235">
        <f t="shared" si="87"/>
        <v>960</v>
      </c>
      <c r="H286" s="235">
        <v>12</v>
      </c>
      <c r="I286" s="235">
        <v>4</v>
      </c>
      <c r="J286" s="235">
        <v>86</v>
      </c>
      <c r="K286" s="235">
        <v>10</v>
      </c>
      <c r="L286" s="235">
        <f>SUM(J286:K286)</f>
        <v>96</v>
      </c>
      <c r="M286" s="235">
        <f>I286*L286</f>
        <v>384</v>
      </c>
      <c r="N286" s="268">
        <v>7</v>
      </c>
      <c r="O286" s="268">
        <v>12.5</v>
      </c>
    </row>
    <row r="287" spans="1:15" customFormat="1" ht="24">
      <c r="A287" s="235">
        <v>15</v>
      </c>
      <c r="B287" s="235">
        <v>39</v>
      </c>
      <c r="C287" s="232" t="s">
        <v>91</v>
      </c>
      <c r="D287" s="235">
        <v>5</v>
      </c>
      <c r="E287" s="235">
        <v>26</v>
      </c>
      <c r="F287" s="235">
        <v>4</v>
      </c>
      <c r="G287" s="235">
        <f t="shared" si="87"/>
        <v>520</v>
      </c>
      <c r="H287" s="235">
        <v>5</v>
      </c>
      <c r="I287" s="235">
        <v>4</v>
      </c>
      <c r="J287" s="235">
        <v>90</v>
      </c>
      <c r="K287" s="235">
        <v>30</v>
      </c>
      <c r="L287" s="235">
        <f>SUM(J287:K287)</f>
        <v>120</v>
      </c>
      <c r="M287" s="235">
        <f>I287*L287</f>
        <v>480</v>
      </c>
      <c r="N287" s="268">
        <v>5</v>
      </c>
      <c r="O287" s="268">
        <v>4.9000000000000004</v>
      </c>
    </row>
    <row r="288" spans="1:15" customFormat="1" ht="24">
      <c r="A288" s="235">
        <v>16</v>
      </c>
      <c r="B288" s="235">
        <v>40</v>
      </c>
      <c r="C288" s="232" t="s">
        <v>92</v>
      </c>
      <c r="D288" s="235">
        <v>1</v>
      </c>
      <c r="E288" s="235">
        <v>20</v>
      </c>
      <c r="F288" s="235">
        <v>2</v>
      </c>
      <c r="G288" s="235">
        <f t="shared" si="87"/>
        <v>40</v>
      </c>
      <c r="H288" s="235"/>
      <c r="I288" s="235"/>
      <c r="J288" s="235"/>
      <c r="K288" s="235"/>
      <c r="L288" s="235"/>
      <c r="M288" s="235"/>
      <c r="N288" s="268">
        <v>0.75</v>
      </c>
      <c r="O288" s="268">
        <v>0</v>
      </c>
    </row>
    <row r="289" spans="1:15" customFormat="1" ht="24">
      <c r="A289" s="235">
        <v>17</v>
      </c>
      <c r="B289" s="235">
        <v>43</v>
      </c>
      <c r="C289" s="232" t="s">
        <v>253</v>
      </c>
      <c r="D289" s="235">
        <v>30</v>
      </c>
      <c r="E289" s="235"/>
      <c r="F289" s="235">
        <v>1</v>
      </c>
      <c r="G289" s="235"/>
      <c r="H289" s="235">
        <v>35</v>
      </c>
      <c r="I289" s="235">
        <v>1</v>
      </c>
      <c r="J289" s="235"/>
      <c r="K289" s="235"/>
      <c r="L289" s="235"/>
      <c r="M289" s="235">
        <f t="shared" ref="M289:M290" si="88">I289*L289</f>
        <v>0</v>
      </c>
      <c r="N289" s="268">
        <v>7.8</v>
      </c>
      <c r="O289" s="268">
        <v>8.64</v>
      </c>
    </row>
    <row r="290" spans="1:15" customFormat="1" ht="24">
      <c r="A290" s="235">
        <v>18</v>
      </c>
      <c r="B290" s="235" t="s">
        <v>614</v>
      </c>
      <c r="C290" s="232" t="s">
        <v>254</v>
      </c>
      <c r="D290" s="235">
        <v>30</v>
      </c>
      <c r="E290" s="235"/>
      <c r="F290" s="235">
        <v>1</v>
      </c>
      <c r="G290" s="235"/>
      <c r="H290" s="235">
        <v>32</v>
      </c>
      <c r="I290" s="235">
        <v>1</v>
      </c>
      <c r="J290" s="235"/>
      <c r="K290" s="235"/>
      <c r="L290" s="235"/>
      <c r="M290" s="235">
        <f t="shared" si="88"/>
        <v>0</v>
      </c>
      <c r="N290" s="268">
        <v>7</v>
      </c>
      <c r="O290" s="268">
        <v>7.83</v>
      </c>
    </row>
    <row r="291" spans="1:15" s="80" customFormat="1">
      <c r="A291" s="189"/>
      <c r="B291" s="189" t="s">
        <v>209</v>
      </c>
      <c r="C291" s="190"/>
      <c r="D291" s="189">
        <f>SUM(D285:D290)</f>
        <v>96</v>
      </c>
      <c r="E291" s="189">
        <f t="shared" ref="E291:N291" si="89">SUM(E285:E290)</f>
        <v>109</v>
      </c>
      <c r="F291" s="189">
        <f t="shared" si="89"/>
        <v>14</v>
      </c>
      <c r="G291" s="189">
        <f t="shared" si="89"/>
        <v>3080</v>
      </c>
      <c r="H291" s="189">
        <f>SUM(H285:H290)</f>
        <v>105</v>
      </c>
      <c r="I291" s="189">
        <f t="shared" si="89"/>
        <v>11</v>
      </c>
      <c r="J291" s="189">
        <f t="shared" si="89"/>
        <v>185</v>
      </c>
      <c r="K291" s="189">
        <f t="shared" si="89"/>
        <v>43</v>
      </c>
      <c r="L291" s="189">
        <f t="shared" si="89"/>
        <v>228</v>
      </c>
      <c r="M291" s="189">
        <f t="shared" si="89"/>
        <v>876</v>
      </c>
      <c r="N291" s="191">
        <f t="shared" si="89"/>
        <v>42.55</v>
      </c>
      <c r="O291" s="227">
        <f>SUM(O285:O290)</f>
        <v>49.37</v>
      </c>
    </row>
    <row r="292" spans="1:15" s="80" customFormat="1">
      <c r="A292" s="294"/>
      <c r="B292" s="954" t="s">
        <v>1186</v>
      </c>
      <c r="C292" s="954"/>
      <c r="D292" s="954"/>
      <c r="E292" s="954"/>
      <c r="F292" s="294"/>
      <c r="G292" s="294"/>
      <c r="H292" s="294"/>
      <c r="I292" s="294"/>
      <c r="J292" s="294"/>
      <c r="K292" s="294"/>
      <c r="L292" s="294"/>
      <c r="M292" s="294"/>
      <c r="N292" s="295"/>
      <c r="O292" s="296"/>
    </row>
    <row r="293" spans="1:15" customFormat="1">
      <c r="A293" s="235">
        <v>19</v>
      </c>
      <c r="B293" s="235">
        <v>53</v>
      </c>
      <c r="C293" s="232" t="s">
        <v>1143</v>
      </c>
      <c r="D293" s="235">
        <v>1</v>
      </c>
      <c r="E293" s="235">
        <v>25</v>
      </c>
      <c r="F293" s="235">
        <v>1</v>
      </c>
      <c r="G293" s="235">
        <f t="shared" ref="G293:G296" si="90">D293*E293*F293</f>
        <v>25</v>
      </c>
      <c r="H293" s="235">
        <v>3</v>
      </c>
      <c r="I293" s="235">
        <v>1</v>
      </c>
      <c r="J293" s="235">
        <v>50</v>
      </c>
      <c r="K293" s="235">
        <v>25</v>
      </c>
      <c r="L293" s="235">
        <f>SUM(J293:K293)</f>
        <v>75</v>
      </c>
      <c r="M293" s="235">
        <f t="shared" ref="M293:M296" si="91">I293*L293</f>
        <v>75</v>
      </c>
      <c r="N293" s="268">
        <v>0.21</v>
      </c>
      <c r="O293" s="268">
        <v>0.77</v>
      </c>
    </row>
    <row r="294" spans="1:15" customFormat="1">
      <c r="A294" s="235">
        <v>20</v>
      </c>
      <c r="B294" s="235">
        <v>54</v>
      </c>
      <c r="C294" s="232" t="s">
        <v>1166</v>
      </c>
      <c r="D294" s="235">
        <v>3</v>
      </c>
      <c r="E294" s="235">
        <v>25</v>
      </c>
      <c r="F294" s="235">
        <v>1</v>
      </c>
      <c r="G294" s="235">
        <f t="shared" si="90"/>
        <v>75</v>
      </c>
      <c r="H294" s="235"/>
      <c r="I294" s="235"/>
      <c r="J294" s="235"/>
      <c r="K294" s="235"/>
      <c r="L294" s="235"/>
      <c r="M294" s="235"/>
      <c r="N294" s="268">
        <v>0.61</v>
      </c>
      <c r="O294" s="268">
        <v>0</v>
      </c>
    </row>
    <row r="295" spans="1:15" customFormat="1">
      <c r="A295" s="235">
        <v>21</v>
      </c>
      <c r="B295" s="235">
        <v>55</v>
      </c>
      <c r="C295" s="232" t="s">
        <v>1166</v>
      </c>
      <c r="D295" s="235">
        <v>6</v>
      </c>
      <c r="E295" s="235">
        <v>25</v>
      </c>
      <c r="F295" s="235">
        <v>1</v>
      </c>
      <c r="G295" s="235">
        <f t="shared" si="90"/>
        <v>150</v>
      </c>
      <c r="H295" s="235"/>
      <c r="I295" s="235"/>
      <c r="J295" s="235"/>
      <c r="K295" s="235"/>
      <c r="L295" s="235"/>
      <c r="M295" s="235"/>
      <c r="N295" s="268">
        <v>0.85</v>
      </c>
      <c r="O295" s="268">
        <v>0</v>
      </c>
    </row>
    <row r="296" spans="1:15" customFormat="1" ht="24">
      <c r="A296" s="235">
        <v>22</v>
      </c>
      <c r="B296" s="235">
        <v>58</v>
      </c>
      <c r="C296" s="232" t="s">
        <v>625</v>
      </c>
      <c r="D296" s="235">
        <v>10</v>
      </c>
      <c r="E296" s="235">
        <v>20</v>
      </c>
      <c r="F296" s="235">
        <v>2</v>
      </c>
      <c r="G296" s="235">
        <f t="shared" si="90"/>
        <v>400</v>
      </c>
      <c r="H296" s="235">
        <v>2</v>
      </c>
      <c r="I296" s="235">
        <v>1</v>
      </c>
      <c r="J296" s="235">
        <v>50</v>
      </c>
      <c r="K296" s="235">
        <v>4</v>
      </c>
      <c r="L296" s="235">
        <f>SUM(J296:K296)</f>
        <v>54</v>
      </c>
      <c r="M296" s="235">
        <f t="shared" si="91"/>
        <v>54</v>
      </c>
      <c r="N296" s="268">
        <v>1.5</v>
      </c>
      <c r="O296" s="268">
        <v>1.89</v>
      </c>
    </row>
    <row r="297" spans="1:15">
      <c r="A297" s="189"/>
      <c r="B297" s="189" t="s">
        <v>209</v>
      </c>
      <c r="C297" s="190"/>
      <c r="D297" s="189">
        <f>SUM(D293:D296)</f>
        <v>20</v>
      </c>
      <c r="E297" s="189">
        <f t="shared" ref="E297:N297" si="92">SUM(E293:E296)</f>
        <v>95</v>
      </c>
      <c r="F297" s="189">
        <f t="shared" si="92"/>
        <v>5</v>
      </c>
      <c r="G297" s="189">
        <f t="shared" si="92"/>
        <v>650</v>
      </c>
      <c r="H297" s="189">
        <f>SUM(H293:H296)</f>
        <v>5</v>
      </c>
      <c r="I297" s="189">
        <f t="shared" si="92"/>
        <v>2</v>
      </c>
      <c r="J297" s="189">
        <f t="shared" si="92"/>
        <v>100</v>
      </c>
      <c r="K297" s="189">
        <f t="shared" si="92"/>
        <v>29</v>
      </c>
      <c r="L297" s="189">
        <f t="shared" si="92"/>
        <v>129</v>
      </c>
      <c r="M297" s="189">
        <f t="shared" si="92"/>
        <v>129</v>
      </c>
      <c r="N297" s="191">
        <f t="shared" si="92"/>
        <v>3.17</v>
      </c>
      <c r="O297" s="227">
        <f>SUM(O293:O296)</f>
        <v>2.66</v>
      </c>
    </row>
    <row r="298" spans="1:15">
      <c r="A298" s="108"/>
      <c r="B298" s="954" t="s">
        <v>491</v>
      </c>
      <c r="C298" s="954"/>
      <c r="D298" s="954"/>
      <c r="E298" s="108"/>
      <c r="F298" s="108"/>
      <c r="G298" s="108"/>
      <c r="H298" s="108"/>
      <c r="I298" s="108"/>
      <c r="J298" s="108"/>
      <c r="K298" s="108"/>
      <c r="L298" s="108"/>
      <c r="M298" s="108"/>
      <c r="N298" s="109"/>
      <c r="O298" s="149"/>
    </row>
    <row r="299" spans="1:15" ht="24">
      <c r="A299" s="235">
        <v>23</v>
      </c>
      <c r="B299" s="235">
        <v>63</v>
      </c>
      <c r="C299" s="232" t="s">
        <v>94</v>
      </c>
      <c r="D299" s="235">
        <v>7</v>
      </c>
      <c r="E299" s="235">
        <v>25</v>
      </c>
      <c r="F299" s="235">
        <v>4</v>
      </c>
      <c r="G299" s="235">
        <f t="shared" ref="G299:G302" si="93">D299*E299*F299</f>
        <v>700</v>
      </c>
      <c r="H299" s="235">
        <v>10</v>
      </c>
      <c r="I299" s="235">
        <v>4</v>
      </c>
      <c r="J299" s="235">
        <v>221</v>
      </c>
      <c r="K299" s="235">
        <v>7</v>
      </c>
      <c r="L299" s="235">
        <f>SUM(J299:K299)</f>
        <v>228</v>
      </c>
      <c r="M299" s="235">
        <f t="shared" ref="M299:M303" si="94">I299*L299</f>
        <v>912</v>
      </c>
      <c r="N299" s="268">
        <v>8.5</v>
      </c>
      <c r="O299" s="268">
        <v>17.02</v>
      </c>
    </row>
    <row r="300" spans="1:15" ht="24">
      <c r="A300" s="235">
        <v>24</v>
      </c>
      <c r="B300" s="235">
        <v>64</v>
      </c>
      <c r="C300" s="232" t="s">
        <v>1167</v>
      </c>
      <c r="D300" s="235">
        <v>34</v>
      </c>
      <c r="E300" s="235">
        <v>15</v>
      </c>
      <c r="F300" s="235">
        <v>15</v>
      </c>
      <c r="G300" s="235">
        <f t="shared" si="93"/>
        <v>7650</v>
      </c>
      <c r="H300" s="235">
        <v>34</v>
      </c>
      <c r="I300" s="235">
        <v>15</v>
      </c>
      <c r="J300" s="235">
        <v>547</v>
      </c>
      <c r="K300" s="235">
        <v>17</v>
      </c>
      <c r="L300" s="235">
        <f>SUM(J300:K300)</f>
        <v>564</v>
      </c>
      <c r="M300" s="235">
        <f t="shared" si="94"/>
        <v>8460</v>
      </c>
      <c r="N300" s="268">
        <v>6.5</v>
      </c>
      <c r="O300" s="268">
        <v>6.98</v>
      </c>
    </row>
    <row r="301" spans="1:15" ht="24">
      <c r="A301" s="235">
        <v>25</v>
      </c>
      <c r="B301" s="235">
        <v>65</v>
      </c>
      <c r="C301" s="232" t="s">
        <v>199</v>
      </c>
      <c r="D301" s="235">
        <v>34</v>
      </c>
      <c r="E301" s="235">
        <v>30</v>
      </c>
      <c r="F301" s="235">
        <v>2</v>
      </c>
      <c r="G301" s="235">
        <f t="shared" si="93"/>
        <v>2040</v>
      </c>
      <c r="H301" s="235">
        <v>34</v>
      </c>
      <c r="I301" s="235">
        <v>2</v>
      </c>
      <c r="J301" s="235">
        <v>975</v>
      </c>
      <c r="K301" s="235">
        <v>87</v>
      </c>
      <c r="L301" s="235">
        <f>SUM(J301:K301)</f>
        <v>1062</v>
      </c>
      <c r="M301" s="235">
        <f t="shared" si="94"/>
        <v>2124</v>
      </c>
      <c r="N301" s="268">
        <v>7</v>
      </c>
      <c r="O301" s="268">
        <v>8.7799999999999994</v>
      </c>
    </row>
    <row r="302" spans="1:15" ht="24">
      <c r="A302" s="235">
        <v>26</v>
      </c>
      <c r="B302" s="235">
        <v>66</v>
      </c>
      <c r="C302" s="232" t="s">
        <v>1144</v>
      </c>
      <c r="D302" s="235">
        <v>10</v>
      </c>
      <c r="E302" s="235">
        <v>25</v>
      </c>
      <c r="F302" s="235">
        <v>3</v>
      </c>
      <c r="G302" s="235">
        <f t="shared" si="93"/>
        <v>750</v>
      </c>
      <c r="H302" s="235">
        <v>11</v>
      </c>
      <c r="I302" s="235">
        <v>1</v>
      </c>
      <c r="J302" s="235">
        <v>70</v>
      </c>
      <c r="K302" s="235">
        <v>10</v>
      </c>
      <c r="L302" s="235">
        <f>SUM(J302:K302)</f>
        <v>80</v>
      </c>
      <c r="M302" s="235">
        <f t="shared" si="94"/>
        <v>80</v>
      </c>
      <c r="N302" s="268">
        <v>1.1499999999999999</v>
      </c>
      <c r="O302" s="268">
        <v>2.1</v>
      </c>
    </row>
    <row r="303" spans="1:15" ht="24">
      <c r="A303" s="235">
        <v>27</v>
      </c>
      <c r="B303" s="235">
        <v>69</v>
      </c>
      <c r="C303" s="232" t="s">
        <v>1168</v>
      </c>
      <c r="D303" s="235"/>
      <c r="E303" s="235"/>
      <c r="F303" s="235"/>
      <c r="G303" s="235"/>
      <c r="H303" s="235">
        <v>24</v>
      </c>
      <c r="I303" s="235">
        <v>3</v>
      </c>
      <c r="J303" s="235">
        <v>336</v>
      </c>
      <c r="K303" s="235">
        <v>484</v>
      </c>
      <c r="L303" s="235">
        <f>SUM(J303:K303)</f>
        <v>820</v>
      </c>
      <c r="M303" s="235">
        <f t="shared" si="94"/>
        <v>2460</v>
      </c>
      <c r="N303" s="268">
        <v>0</v>
      </c>
      <c r="O303" s="268">
        <v>56.4</v>
      </c>
    </row>
    <row r="304" spans="1:15" s="80" customFormat="1">
      <c r="A304" s="189"/>
      <c r="B304" s="189" t="s">
        <v>209</v>
      </c>
      <c r="C304" s="190"/>
      <c r="D304" s="189">
        <f>SUM(D299:D303)</f>
        <v>85</v>
      </c>
      <c r="E304" s="189">
        <f t="shared" ref="E304:N304" si="95">SUM(E299:E303)</f>
        <v>95</v>
      </c>
      <c r="F304" s="189">
        <f t="shared" si="95"/>
        <v>24</v>
      </c>
      <c r="G304" s="189">
        <f t="shared" si="95"/>
        <v>11140</v>
      </c>
      <c r="H304" s="189">
        <f>SUM(H299:H303)</f>
        <v>113</v>
      </c>
      <c r="I304" s="189">
        <f t="shared" si="95"/>
        <v>25</v>
      </c>
      <c r="J304" s="189">
        <f t="shared" si="95"/>
        <v>2149</v>
      </c>
      <c r="K304" s="189">
        <f t="shared" si="95"/>
        <v>605</v>
      </c>
      <c r="L304" s="189">
        <f t="shared" si="95"/>
        <v>2754</v>
      </c>
      <c r="M304" s="189">
        <f t="shared" si="95"/>
        <v>14036</v>
      </c>
      <c r="N304" s="191">
        <f t="shared" si="95"/>
        <v>23.15</v>
      </c>
      <c r="O304" s="227">
        <f>SUM(O299:O303)</f>
        <v>91.28</v>
      </c>
    </row>
    <row r="305" spans="1:15">
      <c r="A305" s="108"/>
      <c r="B305" s="954" t="s">
        <v>492</v>
      </c>
      <c r="C305" s="954"/>
      <c r="D305" s="954"/>
      <c r="E305" s="108"/>
      <c r="F305" s="108"/>
      <c r="G305" s="108"/>
      <c r="H305" s="108"/>
      <c r="I305" s="108"/>
      <c r="J305" s="108"/>
      <c r="K305" s="108"/>
      <c r="L305" s="108"/>
      <c r="M305" s="108"/>
      <c r="N305" s="140"/>
      <c r="O305" s="149"/>
    </row>
    <row r="306" spans="1:15" ht="24">
      <c r="A306" s="235">
        <v>28</v>
      </c>
      <c r="B306" s="235">
        <v>77</v>
      </c>
      <c r="C306" s="232" t="s">
        <v>258</v>
      </c>
      <c r="D306" s="235">
        <v>5</v>
      </c>
      <c r="E306" s="235">
        <v>28</v>
      </c>
      <c r="F306" s="235">
        <v>1</v>
      </c>
      <c r="G306" s="235">
        <f>D306*E306*F306</f>
        <v>140</v>
      </c>
      <c r="H306" s="235">
        <v>6</v>
      </c>
      <c r="I306" s="235">
        <v>1</v>
      </c>
      <c r="J306" s="235">
        <v>158</v>
      </c>
      <c r="K306" s="235">
        <v>14</v>
      </c>
      <c r="L306" s="235">
        <f t="shared" ref="L306:L316" si="96">SUM(J306:K306)</f>
        <v>172</v>
      </c>
      <c r="M306" s="235">
        <f t="shared" ref="M306:M316" si="97">I306*L306</f>
        <v>172</v>
      </c>
      <c r="N306" s="268">
        <v>0.7</v>
      </c>
      <c r="O306" s="268">
        <v>2</v>
      </c>
    </row>
    <row r="307" spans="1:15" ht="24">
      <c r="A307" s="235">
        <v>29</v>
      </c>
      <c r="B307" s="235">
        <v>78</v>
      </c>
      <c r="C307" s="232" t="s">
        <v>200</v>
      </c>
      <c r="D307" s="235">
        <v>20</v>
      </c>
      <c r="E307" s="235">
        <v>25</v>
      </c>
      <c r="F307" s="235">
        <v>3</v>
      </c>
      <c r="G307" s="235">
        <f>D307*E307*F307</f>
        <v>1500</v>
      </c>
      <c r="H307" s="235">
        <v>21</v>
      </c>
      <c r="I307" s="235">
        <v>2</v>
      </c>
      <c r="J307" s="235">
        <v>783</v>
      </c>
      <c r="K307" s="235">
        <v>60</v>
      </c>
      <c r="L307" s="235">
        <f t="shared" si="96"/>
        <v>843</v>
      </c>
      <c r="M307" s="235">
        <f t="shared" si="97"/>
        <v>1686</v>
      </c>
      <c r="N307" s="268">
        <v>3.2</v>
      </c>
      <c r="O307" s="268">
        <v>10.4</v>
      </c>
    </row>
    <row r="308" spans="1:15" ht="24">
      <c r="A308" s="235">
        <v>30</v>
      </c>
      <c r="B308" s="235">
        <v>79</v>
      </c>
      <c r="C308" s="232" t="s">
        <v>1169</v>
      </c>
      <c r="D308" s="235">
        <v>1</v>
      </c>
      <c r="E308" s="235">
        <v>15</v>
      </c>
      <c r="F308" s="235">
        <v>1</v>
      </c>
      <c r="G308" s="235">
        <f t="shared" ref="G308:G316" si="98">D308*E308*F308</f>
        <v>15</v>
      </c>
      <c r="H308" s="235">
        <v>2</v>
      </c>
      <c r="I308" s="235">
        <v>13</v>
      </c>
      <c r="J308" s="235">
        <v>2</v>
      </c>
      <c r="K308" s="235">
        <v>7</v>
      </c>
      <c r="L308" s="235">
        <f t="shared" si="96"/>
        <v>9</v>
      </c>
      <c r="M308" s="235">
        <f t="shared" si="97"/>
        <v>117</v>
      </c>
      <c r="N308" s="268">
        <v>0.35</v>
      </c>
      <c r="O308" s="268">
        <v>1</v>
      </c>
    </row>
    <row r="309" spans="1:15">
      <c r="A309" s="235">
        <v>31</v>
      </c>
      <c r="B309" s="235">
        <v>80</v>
      </c>
      <c r="C309" s="232" t="s">
        <v>95</v>
      </c>
      <c r="D309" s="235">
        <v>5</v>
      </c>
      <c r="E309" s="235">
        <v>25</v>
      </c>
      <c r="F309" s="235">
        <v>2</v>
      </c>
      <c r="G309" s="235">
        <f t="shared" si="98"/>
        <v>250</v>
      </c>
      <c r="H309" s="235">
        <v>3</v>
      </c>
      <c r="I309" s="235">
        <v>2</v>
      </c>
      <c r="J309" s="235">
        <v>98</v>
      </c>
      <c r="K309" s="235">
        <v>7</v>
      </c>
      <c r="L309" s="235">
        <f t="shared" si="96"/>
        <v>105</v>
      </c>
      <c r="M309" s="235">
        <f t="shared" si="97"/>
        <v>210</v>
      </c>
      <c r="N309" s="268">
        <v>1.2</v>
      </c>
      <c r="O309" s="268">
        <v>2.4</v>
      </c>
    </row>
    <row r="310" spans="1:15">
      <c r="A310" s="235">
        <v>32</v>
      </c>
      <c r="B310" s="235">
        <v>81</v>
      </c>
      <c r="C310" s="232" t="s">
        <v>96</v>
      </c>
      <c r="D310" s="235">
        <v>7</v>
      </c>
      <c r="E310" s="235">
        <v>25</v>
      </c>
      <c r="F310" s="235">
        <v>2</v>
      </c>
      <c r="G310" s="235">
        <f t="shared" si="98"/>
        <v>350</v>
      </c>
      <c r="H310" s="235">
        <v>7</v>
      </c>
      <c r="I310" s="235">
        <v>1</v>
      </c>
      <c r="J310" s="235">
        <v>312</v>
      </c>
      <c r="K310" s="235">
        <v>35</v>
      </c>
      <c r="L310" s="235">
        <f t="shared" si="96"/>
        <v>347</v>
      </c>
      <c r="M310" s="235">
        <f t="shared" si="97"/>
        <v>347</v>
      </c>
      <c r="N310" s="268">
        <v>1</v>
      </c>
      <c r="O310" s="268">
        <v>1.5</v>
      </c>
    </row>
    <row r="311" spans="1:15" ht="24">
      <c r="A311" s="235">
        <v>33</v>
      </c>
      <c r="B311" s="235">
        <v>82</v>
      </c>
      <c r="C311" s="232" t="s">
        <v>1170</v>
      </c>
      <c r="D311" s="235">
        <v>20</v>
      </c>
      <c r="E311" s="235">
        <v>20</v>
      </c>
      <c r="F311" s="235">
        <v>1</v>
      </c>
      <c r="G311" s="235">
        <f t="shared" si="98"/>
        <v>400</v>
      </c>
      <c r="H311" s="235">
        <v>21</v>
      </c>
      <c r="I311" s="235">
        <v>1</v>
      </c>
      <c r="J311" s="235">
        <v>387</v>
      </c>
      <c r="K311" s="235">
        <v>35</v>
      </c>
      <c r="L311" s="235">
        <f t="shared" si="96"/>
        <v>422</v>
      </c>
      <c r="M311" s="235">
        <f t="shared" si="97"/>
        <v>422</v>
      </c>
      <c r="N311" s="268">
        <v>1</v>
      </c>
      <c r="O311" s="268">
        <v>2</v>
      </c>
    </row>
    <row r="312" spans="1:15" ht="24">
      <c r="A312" s="235">
        <v>34</v>
      </c>
      <c r="B312" s="235">
        <v>83</v>
      </c>
      <c r="C312" s="232" t="s">
        <v>201</v>
      </c>
      <c r="D312" s="235">
        <v>20</v>
      </c>
      <c r="E312" s="235">
        <v>20</v>
      </c>
      <c r="F312" s="235">
        <v>1</v>
      </c>
      <c r="G312" s="235">
        <f t="shared" si="98"/>
        <v>400</v>
      </c>
      <c r="H312" s="235">
        <v>21</v>
      </c>
      <c r="I312" s="235">
        <v>1</v>
      </c>
      <c r="J312" s="235">
        <v>387</v>
      </c>
      <c r="K312" s="235">
        <v>35</v>
      </c>
      <c r="L312" s="235">
        <f t="shared" si="96"/>
        <v>422</v>
      </c>
      <c r="M312" s="235">
        <f t="shared" si="97"/>
        <v>422</v>
      </c>
      <c r="N312" s="268">
        <v>1.5</v>
      </c>
      <c r="O312" s="268">
        <v>2</v>
      </c>
    </row>
    <row r="313" spans="1:15">
      <c r="A313" s="235">
        <v>35</v>
      </c>
      <c r="B313" s="235">
        <v>84</v>
      </c>
      <c r="C313" s="232" t="s">
        <v>1171</v>
      </c>
      <c r="D313" s="235">
        <v>20</v>
      </c>
      <c r="E313" s="235">
        <v>20</v>
      </c>
      <c r="F313" s="235">
        <v>1</v>
      </c>
      <c r="G313" s="235">
        <f t="shared" si="98"/>
        <v>400</v>
      </c>
      <c r="H313" s="235">
        <v>21</v>
      </c>
      <c r="I313" s="235">
        <v>1</v>
      </c>
      <c r="J313" s="235">
        <v>387</v>
      </c>
      <c r="K313" s="235">
        <v>35</v>
      </c>
      <c r="L313" s="235">
        <f t="shared" si="96"/>
        <v>422</v>
      </c>
      <c r="M313" s="235">
        <f t="shared" si="97"/>
        <v>422</v>
      </c>
      <c r="N313" s="268">
        <v>1</v>
      </c>
      <c r="O313" s="268">
        <v>1</v>
      </c>
    </row>
    <row r="314" spans="1:15" ht="24">
      <c r="A314" s="235">
        <v>36</v>
      </c>
      <c r="B314" s="235">
        <v>85</v>
      </c>
      <c r="C314" s="232" t="s">
        <v>99</v>
      </c>
      <c r="D314" s="235">
        <v>20</v>
      </c>
      <c r="E314" s="235">
        <v>20</v>
      </c>
      <c r="F314" s="235">
        <v>1</v>
      </c>
      <c r="G314" s="235">
        <f t="shared" si="98"/>
        <v>400</v>
      </c>
      <c r="H314" s="235">
        <v>21</v>
      </c>
      <c r="I314" s="235">
        <v>1</v>
      </c>
      <c r="J314" s="235">
        <v>387</v>
      </c>
      <c r="K314" s="235">
        <v>35</v>
      </c>
      <c r="L314" s="235">
        <f t="shared" si="96"/>
        <v>422</v>
      </c>
      <c r="M314" s="235">
        <f t="shared" si="97"/>
        <v>422</v>
      </c>
      <c r="N314" s="268">
        <v>1</v>
      </c>
      <c r="O314" s="268">
        <v>1</v>
      </c>
    </row>
    <row r="315" spans="1:15" ht="24">
      <c r="A315" s="235">
        <v>37</v>
      </c>
      <c r="B315" s="235">
        <v>86</v>
      </c>
      <c r="C315" s="232" t="s">
        <v>99</v>
      </c>
      <c r="D315" s="235">
        <v>20</v>
      </c>
      <c r="E315" s="235">
        <v>20</v>
      </c>
      <c r="F315" s="235">
        <v>1</v>
      </c>
      <c r="G315" s="235">
        <f t="shared" si="98"/>
        <v>400</v>
      </c>
      <c r="H315" s="235">
        <v>21</v>
      </c>
      <c r="I315" s="235">
        <v>1</v>
      </c>
      <c r="J315" s="235">
        <v>387</v>
      </c>
      <c r="K315" s="235">
        <v>35</v>
      </c>
      <c r="L315" s="235">
        <f t="shared" si="96"/>
        <v>422</v>
      </c>
      <c r="M315" s="235">
        <f t="shared" si="97"/>
        <v>422</v>
      </c>
      <c r="N315" s="268">
        <v>1</v>
      </c>
      <c r="O315" s="268">
        <v>1</v>
      </c>
    </row>
    <row r="316" spans="1:15">
      <c r="A316" s="235">
        <v>38</v>
      </c>
      <c r="B316" s="235">
        <v>87</v>
      </c>
      <c r="C316" s="232" t="s">
        <v>1172</v>
      </c>
      <c r="D316" s="235">
        <v>10</v>
      </c>
      <c r="E316" s="235">
        <v>30</v>
      </c>
      <c r="F316" s="235">
        <v>2</v>
      </c>
      <c r="G316" s="235">
        <f t="shared" si="98"/>
        <v>600</v>
      </c>
      <c r="H316" s="235">
        <v>10</v>
      </c>
      <c r="I316" s="235">
        <v>2</v>
      </c>
      <c r="J316" s="235">
        <v>265</v>
      </c>
      <c r="K316" s="235">
        <v>25</v>
      </c>
      <c r="L316" s="235">
        <f t="shared" si="96"/>
        <v>290</v>
      </c>
      <c r="M316" s="235">
        <f t="shared" si="97"/>
        <v>580</v>
      </c>
      <c r="N316" s="268">
        <v>0.5</v>
      </c>
      <c r="O316" s="268">
        <v>0.57999999999999996</v>
      </c>
    </row>
    <row r="317" spans="1:15" s="80" customFormat="1">
      <c r="A317" s="189"/>
      <c r="B317" s="189" t="s">
        <v>209</v>
      </c>
      <c r="C317" s="190"/>
      <c r="D317" s="189">
        <f>SUM(D306:D316)</f>
        <v>148</v>
      </c>
      <c r="E317" s="189">
        <f t="shared" ref="E317:N317" si="99">SUM(E306:E316)</f>
        <v>248</v>
      </c>
      <c r="F317" s="189">
        <f t="shared" si="99"/>
        <v>16</v>
      </c>
      <c r="G317" s="189">
        <f t="shared" si="99"/>
        <v>4855</v>
      </c>
      <c r="H317" s="189">
        <f>SUM(H306:H316)</f>
        <v>154</v>
      </c>
      <c r="I317" s="189">
        <f t="shared" si="99"/>
        <v>26</v>
      </c>
      <c r="J317" s="189">
        <f t="shared" si="99"/>
        <v>3553</v>
      </c>
      <c r="K317" s="189">
        <f t="shared" si="99"/>
        <v>323</v>
      </c>
      <c r="L317" s="189">
        <f t="shared" si="99"/>
        <v>3876</v>
      </c>
      <c r="M317" s="189">
        <f t="shared" si="99"/>
        <v>5222</v>
      </c>
      <c r="N317" s="191">
        <f t="shared" si="99"/>
        <v>12.45</v>
      </c>
      <c r="O317" s="227">
        <f>SUM(O306:O316)</f>
        <v>24.88</v>
      </c>
    </row>
    <row r="318" spans="1:15" ht="12.75" customHeight="1">
      <c r="A318" s="108"/>
      <c r="B318" s="955" t="s">
        <v>493</v>
      </c>
      <c r="C318" s="956"/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  <c r="N318" s="148"/>
      <c r="O318" s="149"/>
    </row>
    <row r="319" spans="1:15" ht="12.75" customHeight="1">
      <c r="A319" s="235">
        <v>39</v>
      </c>
      <c r="B319" s="235">
        <v>90</v>
      </c>
      <c r="C319" s="232" t="s">
        <v>1173</v>
      </c>
      <c r="D319" s="235"/>
      <c r="E319" s="235"/>
      <c r="F319" s="235"/>
      <c r="G319" s="235"/>
      <c r="H319" s="235">
        <v>4</v>
      </c>
      <c r="I319" s="235">
        <v>2</v>
      </c>
      <c r="J319" s="235">
        <v>106</v>
      </c>
      <c r="K319" s="235">
        <v>4</v>
      </c>
      <c r="L319" s="235">
        <f>SUM(J319:K319)</f>
        <v>110</v>
      </c>
      <c r="M319" s="235">
        <f>I319*L319</f>
        <v>220</v>
      </c>
      <c r="N319" s="268">
        <v>0</v>
      </c>
      <c r="O319" s="268">
        <v>7.32</v>
      </c>
    </row>
    <row r="320" spans="1:15" ht="12.75" customHeight="1">
      <c r="A320" s="235">
        <v>40</v>
      </c>
      <c r="B320" s="235">
        <v>91</v>
      </c>
      <c r="C320" s="232" t="s">
        <v>101</v>
      </c>
      <c r="D320" s="235">
        <v>40</v>
      </c>
      <c r="E320" s="235">
        <v>40</v>
      </c>
      <c r="F320" s="235">
        <v>1</v>
      </c>
      <c r="G320" s="235">
        <f>D320*E320*F320</f>
        <v>1600</v>
      </c>
      <c r="H320" s="235">
        <v>10</v>
      </c>
      <c r="I320" s="235">
        <v>1</v>
      </c>
      <c r="J320" s="235">
        <v>255</v>
      </c>
      <c r="K320" s="235">
        <v>265</v>
      </c>
      <c r="L320" s="235">
        <f>SUM(J320:K320)</f>
        <v>520</v>
      </c>
      <c r="M320" s="235">
        <f>I320*L320</f>
        <v>520</v>
      </c>
      <c r="N320" s="268">
        <v>17</v>
      </c>
      <c r="O320" s="268">
        <v>5.3</v>
      </c>
    </row>
    <row r="321" spans="1:15" ht="12.75" customHeight="1">
      <c r="A321" s="189"/>
      <c r="B321" s="189" t="s">
        <v>209</v>
      </c>
      <c r="C321" s="190"/>
      <c r="D321" s="189">
        <f>SUM(D320)</f>
        <v>40</v>
      </c>
      <c r="E321" s="189">
        <f t="shared" ref="E321:I321" si="100">SUM(E320)</f>
        <v>40</v>
      </c>
      <c r="F321" s="189">
        <f t="shared" si="100"/>
        <v>1</v>
      </c>
      <c r="G321" s="189">
        <f t="shared" si="100"/>
        <v>1600</v>
      </c>
      <c r="H321" s="189">
        <f>SUM(H319:H320)</f>
        <v>14</v>
      </c>
      <c r="I321" s="189">
        <f t="shared" si="100"/>
        <v>1</v>
      </c>
      <c r="J321" s="189">
        <f>SUM(J319:J320)</f>
        <v>361</v>
      </c>
      <c r="K321" s="189">
        <f t="shared" ref="K321:O321" si="101">SUM(K319:K320)</f>
        <v>269</v>
      </c>
      <c r="L321" s="189">
        <f t="shared" si="101"/>
        <v>630</v>
      </c>
      <c r="M321" s="189">
        <f t="shared" si="101"/>
        <v>740</v>
      </c>
      <c r="N321" s="191">
        <f t="shared" si="101"/>
        <v>17</v>
      </c>
      <c r="O321" s="191">
        <f t="shared" si="101"/>
        <v>12.620000000000001</v>
      </c>
    </row>
    <row r="322" spans="1:15">
      <c r="A322" s="108"/>
      <c r="B322" s="955" t="s">
        <v>494</v>
      </c>
      <c r="C322" s="956"/>
      <c r="D322" s="108"/>
      <c r="E322" s="108"/>
      <c r="F322" s="108"/>
      <c r="G322" s="108"/>
      <c r="H322" s="108"/>
      <c r="I322" s="108"/>
      <c r="J322" s="108"/>
      <c r="K322" s="108"/>
      <c r="L322" s="108"/>
      <c r="M322" s="108"/>
      <c r="N322" s="109"/>
      <c r="O322" s="149"/>
    </row>
    <row r="323" spans="1:15">
      <c r="A323" s="235">
        <v>41</v>
      </c>
      <c r="B323" s="235">
        <v>93</v>
      </c>
      <c r="C323" s="232" t="s">
        <v>1174</v>
      </c>
      <c r="D323" s="235"/>
      <c r="E323" s="235"/>
      <c r="F323" s="235"/>
      <c r="G323" s="235"/>
      <c r="H323" s="235">
        <v>1</v>
      </c>
      <c r="I323" s="235">
        <v>2</v>
      </c>
      <c r="J323" s="235">
        <v>24</v>
      </c>
      <c r="K323" s="235">
        <v>2</v>
      </c>
      <c r="L323" s="235">
        <f>SUM(J323:K323)</f>
        <v>26</v>
      </c>
      <c r="M323" s="235">
        <f>I323*L323</f>
        <v>52</v>
      </c>
      <c r="N323" s="268">
        <v>0</v>
      </c>
      <c r="O323" s="268">
        <v>1.07</v>
      </c>
    </row>
    <row r="324" spans="1:15" ht="36">
      <c r="A324" s="235">
        <v>42</v>
      </c>
      <c r="B324" s="235">
        <v>94</v>
      </c>
      <c r="C324" s="232" t="s">
        <v>1175</v>
      </c>
      <c r="D324" s="235">
        <v>3</v>
      </c>
      <c r="E324" s="235">
        <v>30</v>
      </c>
      <c r="F324" s="235">
        <v>2</v>
      </c>
      <c r="G324" s="235">
        <f>D324*E324*F324</f>
        <v>180</v>
      </c>
      <c r="H324" s="235">
        <v>0</v>
      </c>
      <c r="I324" s="235">
        <v>2</v>
      </c>
      <c r="J324" s="235">
        <v>0</v>
      </c>
      <c r="K324" s="235"/>
      <c r="L324" s="235">
        <f>SUM(J324:K324)</f>
        <v>0</v>
      </c>
      <c r="M324" s="235">
        <f>I324*L324</f>
        <v>0</v>
      </c>
      <c r="N324" s="268">
        <v>4.5</v>
      </c>
      <c r="O324" s="268">
        <v>0</v>
      </c>
    </row>
    <row r="325" spans="1:15" ht="36.75" customHeight="1">
      <c r="A325" s="235">
        <v>43</v>
      </c>
      <c r="B325" s="235">
        <v>97</v>
      </c>
      <c r="C325" s="232" t="s">
        <v>640</v>
      </c>
      <c r="D325" s="235">
        <v>15</v>
      </c>
      <c r="E325" s="235">
        <v>30</v>
      </c>
      <c r="F325" s="235">
        <v>1</v>
      </c>
      <c r="G325" s="235">
        <f>D325*E325*F325</f>
        <v>450</v>
      </c>
      <c r="H325" s="235">
        <v>20</v>
      </c>
      <c r="I325" s="235">
        <v>1</v>
      </c>
      <c r="J325" s="235">
        <v>698</v>
      </c>
      <c r="K325" s="235">
        <v>276</v>
      </c>
      <c r="L325" s="235">
        <f>SUM(J325:K325)</f>
        <v>974</v>
      </c>
      <c r="M325" s="235">
        <f>I325*L325</f>
        <v>974</v>
      </c>
      <c r="N325" s="268">
        <v>4.32</v>
      </c>
      <c r="O325" s="268">
        <v>8.8800000000000008</v>
      </c>
    </row>
    <row r="326" spans="1:15" ht="25.5" customHeight="1">
      <c r="A326" s="235">
        <v>44</v>
      </c>
      <c r="B326" s="235">
        <v>98</v>
      </c>
      <c r="C326" s="232" t="s">
        <v>102</v>
      </c>
      <c r="D326" s="235">
        <v>40</v>
      </c>
      <c r="E326" s="235">
        <v>40</v>
      </c>
      <c r="F326" s="235">
        <v>1</v>
      </c>
      <c r="G326" s="235">
        <f>D326*E326*F326</f>
        <v>1600</v>
      </c>
      <c r="H326" s="235">
        <v>10</v>
      </c>
      <c r="I326" s="235">
        <v>1</v>
      </c>
      <c r="J326" s="235">
        <v>255</v>
      </c>
      <c r="K326" s="235">
        <v>265</v>
      </c>
      <c r="L326" s="235">
        <f>SUM(J326:K326)</f>
        <v>520</v>
      </c>
      <c r="M326" s="235">
        <f>I326*L326</f>
        <v>520</v>
      </c>
      <c r="N326" s="268">
        <v>6.51</v>
      </c>
      <c r="O326" s="268">
        <v>5.3</v>
      </c>
    </row>
    <row r="327" spans="1:15" ht="24">
      <c r="A327" s="235">
        <v>45</v>
      </c>
      <c r="B327" s="235">
        <v>99</v>
      </c>
      <c r="C327" s="232" t="s">
        <v>1176</v>
      </c>
      <c r="D327" s="235">
        <v>10</v>
      </c>
      <c r="E327" s="235">
        <v>30</v>
      </c>
      <c r="F327" s="235">
        <v>3</v>
      </c>
      <c r="G327" s="235">
        <f>D327*E327*F327</f>
        <v>900</v>
      </c>
      <c r="H327" s="235">
        <v>10</v>
      </c>
      <c r="I327" s="235">
        <v>10</v>
      </c>
      <c r="J327" s="235">
        <v>0</v>
      </c>
      <c r="K327" s="235">
        <v>221</v>
      </c>
      <c r="L327" s="235">
        <f>SUM(J327:K327)</f>
        <v>221</v>
      </c>
      <c r="M327" s="235">
        <f>I327*L327</f>
        <v>2210</v>
      </c>
      <c r="N327" s="268">
        <v>1.5</v>
      </c>
      <c r="O327" s="268">
        <v>2.3199999999999998</v>
      </c>
    </row>
    <row r="328" spans="1:15" s="80" customFormat="1">
      <c r="A328" s="189"/>
      <c r="B328" s="189" t="s">
        <v>209</v>
      </c>
      <c r="C328" s="190"/>
      <c r="D328" s="189">
        <f>SUM(D324:D327)</f>
        <v>68</v>
      </c>
      <c r="E328" s="189">
        <f t="shared" ref="E328:N328" si="102">SUM(E324:E327)</f>
        <v>130</v>
      </c>
      <c r="F328" s="189">
        <f t="shared" si="102"/>
        <v>7</v>
      </c>
      <c r="G328" s="189">
        <f t="shared" si="102"/>
        <v>3130</v>
      </c>
      <c r="H328" s="189">
        <f>SUM(H323:H327)</f>
        <v>41</v>
      </c>
      <c r="I328" s="189">
        <f t="shared" si="102"/>
        <v>14</v>
      </c>
      <c r="J328" s="189">
        <f>SUM(J323:J327)</f>
        <v>977</v>
      </c>
      <c r="K328" s="189">
        <f t="shared" si="102"/>
        <v>762</v>
      </c>
      <c r="L328" s="189">
        <f t="shared" si="102"/>
        <v>1715</v>
      </c>
      <c r="M328" s="189">
        <f>SUM(M323:M327)</f>
        <v>3756</v>
      </c>
      <c r="N328" s="227">
        <f t="shared" si="102"/>
        <v>16.829999999999998</v>
      </c>
      <c r="O328" s="227">
        <f>SUM(O323:O327)</f>
        <v>17.57</v>
      </c>
    </row>
    <row r="329" spans="1:15">
      <c r="A329" s="140"/>
      <c r="B329" s="140"/>
      <c r="C329" s="140" t="s">
        <v>495</v>
      </c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9">
        <v>15.87</v>
      </c>
    </row>
    <row r="330" spans="1:15" s="80" customFormat="1">
      <c r="A330" s="582"/>
      <c r="B330" s="941" t="s">
        <v>1290</v>
      </c>
      <c r="C330" s="941" t="s">
        <v>586</v>
      </c>
      <c r="D330" s="582">
        <f t="shared" ref="D330:N330" si="103">D328+D321+D317+D304+D297+D291+D283+D273+D329</f>
        <v>638</v>
      </c>
      <c r="E330" s="582">
        <f t="shared" si="103"/>
        <v>1068</v>
      </c>
      <c r="F330" s="582"/>
      <c r="G330" s="582">
        <f t="shared" si="103"/>
        <v>33015</v>
      </c>
      <c r="H330" s="582">
        <f t="shared" si="103"/>
        <v>537</v>
      </c>
      <c r="I330" s="582"/>
      <c r="J330" s="582">
        <f t="shared" si="103"/>
        <v>15009</v>
      </c>
      <c r="K330" s="582">
        <f t="shared" si="103"/>
        <v>3378</v>
      </c>
      <c r="L330" s="582">
        <f t="shared" si="103"/>
        <v>18363</v>
      </c>
      <c r="M330" s="582">
        <f t="shared" si="103"/>
        <v>33912</v>
      </c>
      <c r="N330" s="583">
        <f t="shared" si="103"/>
        <v>200</v>
      </c>
      <c r="O330" s="584">
        <f>O328+O321+O317+O304+O297+O291+O283+O273+O329</f>
        <v>270.62</v>
      </c>
    </row>
    <row r="331" spans="1:15" ht="18">
      <c r="A331" s="181" t="s">
        <v>496</v>
      </c>
      <c r="B331" s="164"/>
      <c r="C331" s="165"/>
      <c r="D331" s="164"/>
      <c r="E331" s="164"/>
      <c r="F331" s="164"/>
      <c r="G331" s="164"/>
      <c r="H331" s="164"/>
      <c r="I331" s="164"/>
      <c r="J331" s="164"/>
      <c r="K331" s="164"/>
      <c r="L331" s="164"/>
      <c r="M331" s="164"/>
      <c r="N331" s="166"/>
      <c r="O331" s="166"/>
    </row>
    <row r="332" spans="1:15" s="231" customFormat="1">
      <c r="A332" s="108">
        <v>1</v>
      </c>
      <c r="B332" s="139"/>
      <c r="C332" s="96" t="s">
        <v>269</v>
      </c>
      <c r="D332" s="108">
        <v>1</v>
      </c>
      <c r="E332" s="108">
        <v>40</v>
      </c>
      <c r="F332" s="108">
        <v>1</v>
      </c>
      <c r="G332" s="108">
        <f t="shared" ref="G332:G352" si="104">F332*E332</f>
        <v>40</v>
      </c>
      <c r="H332" s="108">
        <v>0</v>
      </c>
      <c r="I332" s="108">
        <v>0</v>
      </c>
      <c r="J332" s="108">
        <v>0</v>
      </c>
      <c r="K332" s="108">
        <v>0</v>
      </c>
      <c r="L332" s="108">
        <f t="shared" ref="L332:L352" si="105">J332+K332</f>
        <v>0</v>
      </c>
      <c r="M332" s="108">
        <f t="shared" ref="M332:M352" si="106">L332*I332</f>
        <v>0</v>
      </c>
      <c r="N332" s="149">
        <v>0.5</v>
      </c>
      <c r="O332" s="149">
        <v>0</v>
      </c>
    </row>
    <row r="333" spans="1:15" s="231" customFormat="1">
      <c r="A333" s="108">
        <f>1+A332</f>
        <v>2</v>
      </c>
      <c r="B333" s="139"/>
      <c r="C333" s="96" t="s">
        <v>892</v>
      </c>
      <c r="D333" s="108">
        <v>0</v>
      </c>
      <c r="E333" s="108">
        <v>0</v>
      </c>
      <c r="F333" s="108">
        <v>0</v>
      </c>
      <c r="G333" s="108">
        <f t="shared" si="104"/>
        <v>0</v>
      </c>
      <c r="H333" s="108">
        <v>0</v>
      </c>
      <c r="I333" s="108">
        <v>0</v>
      </c>
      <c r="J333" s="108">
        <v>0</v>
      </c>
      <c r="K333" s="108">
        <v>0</v>
      </c>
      <c r="L333" s="108">
        <f t="shared" si="105"/>
        <v>0</v>
      </c>
      <c r="M333" s="108">
        <f t="shared" si="106"/>
        <v>0</v>
      </c>
      <c r="N333" s="149">
        <v>0</v>
      </c>
      <c r="O333" s="149">
        <v>0</v>
      </c>
    </row>
    <row r="334" spans="1:15" s="231" customFormat="1">
      <c r="A334" s="108">
        <f t="shared" ref="A334:A352" si="107">1+A333</f>
        <v>3</v>
      </c>
      <c r="B334" s="139"/>
      <c r="C334" s="96" t="s">
        <v>893</v>
      </c>
      <c r="D334" s="108">
        <v>6</v>
      </c>
      <c r="E334" s="108">
        <v>60</v>
      </c>
      <c r="F334" s="108">
        <v>1</v>
      </c>
      <c r="G334" s="108">
        <f t="shared" si="104"/>
        <v>60</v>
      </c>
      <c r="H334" s="108">
        <v>0</v>
      </c>
      <c r="I334" s="108">
        <v>0</v>
      </c>
      <c r="J334" s="108">
        <v>0</v>
      </c>
      <c r="K334" s="108">
        <v>0</v>
      </c>
      <c r="L334" s="108">
        <f t="shared" si="105"/>
        <v>0</v>
      </c>
      <c r="M334" s="108">
        <f t="shared" si="106"/>
        <v>0</v>
      </c>
      <c r="N334" s="149">
        <v>0.56999999999999995</v>
      </c>
      <c r="O334" s="149">
        <v>0</v>
      </c>
    </row>
    <row r="335" spans="1:15" s="231" customFormat="1" ht="24">
      <c r="A335" s="108">
        <f t="shared" si="107"/>
        <v>4</v>
      </c>
      <c r="B335" s="139"/>
      <c r="C335" s="96" t="s">
        <v>408</v>
      </c>
      <c r="D335" s="108">
        <v>10</v>
      </c>
      <c r="E335" s="108">
        <v>300</v>
      </c>
      <c r="F335" s="108">
        <v>1</v>
      </c>
      <c r="G335" s="108">
        <f t="shared" si="104"/>
        <v>300</v>
      </c>
      <c r="H335" s="108">
        <v>2</v>
      </c>
      <c r="I335" s="108">
        <v>1</v>
      </c>
      <c r="J335" s="108">
        <v>28</v>
      </c>
      <c r="K335" s="108">
        <v>26</v>
      </c>
      <c r="L335" s="108">
        <f t="shared" si="105"/>
        <v>54</v>
      </c>
      <c r="M335" s="108">
        <f t="shared" si="106"/>
        <v>54</v>
      </c>
      <c r="N335" s="149">
        <v>0.36</v>
      </c>
      <c r="O335" s="149">
        <v>0.06</v>
      </c>
    </row>
    <row r="336" spans="1:15" s="231" customFormat="1">
      <c r="A336" s="108">
        <f t="shared" si="107"/>
        <v>5</v>
      </c>
      <c r="B336" s="139"/>
      <c r="C336" s="232" t="s">
        <v>894</v>
      </c>
      <c r="D336" s="108">
        <v>2</v>
      </c>
      <c r="E336" s="108">
        <v>40</v>
      </c>
      <c r="F336" s="108">
        <v>6</v>
      </c>
      <c r="G336" s="108">
        <f t="shared" si="104"/>
        <v>240</v>
      </c>
      <c r="H336" s="108">
        <v>6</v>
      </c>
      <c r="I336" s="108" t="s">
        <v>895</v>
      </c>
      <c r="J336" s="108">
        <v>124</v>
      </c>
      <c r="K336" s="108">
        <v>82</v>
      </c>
      <c r="L336" s="108">
        <f t="shared" si="105"/>
        <v>206</v>
      </c>
      <c r="M336" s="108">
        <v>147</v>
      </c>
      <c r="N336" s="149">
        <v>4</v>
      </c>
      <c r="O336" s="149">
        <v>8.82</v>
      </c>
    </row>
    <row r="337" spans="1:15" s="231" customFormat="1">
      <c r="A337" s="108">
        <f t="shared" si="107"/>
        <v>6</v>
      </c>
      <c r="B337" s="139"/>
      <c r="C337" s="232" t="s">
        <v>270</v>
      </c>
      <c r="D337" s="108">
        <v>14</v>
      </c>
      <c r="E337" s="108">
        <v>420</v>
      </c>
      <c r="F337" s="108">
        <v>1</v>
      </c>
      <c r="G337" s="108">
        <f t="shared" si="104"/>
        <v>420</v>
      </c>
      <c r="H337" s="108">
        <v>16</v>
      </c>
      <c r="I337" s="108">
        <v>1</v>
      </c>
      <c r="J337" s="108">
        <v>316</v>
      </c>
      <c r="K337" s="108">
        <v>96</v>
      </c>
      <c r="L337" s="108">
        <f t="shared" si="105"/>
        <v>412</v>
      </c>
      <c r="M337" s="108">
        <f t="shared" si="106"/>
        <v>412</v>
      </c>
      <c r="N337" s="149">
        <v>1.33</v>
      </c>
      <c r="O337" s="149">
        <v>1.1200000000000001</v>
      </c>
    </row>
    <row r="338" spans="1:15" s="231" customFormat="1">
      <c r="A338" s="108">
        <f>1+A337</f>
        <v>7</v>
      </c>
      <c r="B338" s="139"/>
      <c r="C338" s="232" t="s">
        <v>265</v>
      </c>
      <c r="D338" s="108">
        <v>14</v>
      </c>
      <c r="E338" s="108">
        <v>420</v>
      </c>
      <c r="F338" s="108">
        <v>1</v>
      </c>
      <c r="G338" s="108">
        <f t="shared" si="104"/>
        <v>420</v>
      </c>
      <c r="H338" s="108">
        <v>6</v>
      </c>
      <c r="I338" s="108">
        <v>1</v>
      </c>
      <c r="J338" s="108">
        <v>117</v>
      </c>
      <c r="K338" s="108">
        <v>43</v>
      </c>
      <c r="L338" s="108">
        <f t="shared" si="105"/>
        <v>160</v>
      </c>
      <c r="M338" s="108">
        <f t="shared" si="106"/>
        <v>160</v>
      </c>
      <c r="N338" s="149">
        <v>1.33</v>
      </c>
      <c r="O338" s="149">
        <v>1.45</v>
      </c>
    </row>
    <row r="339" spans="1:15" s="231" customFormat="1">
      <c r="A339" s="108">
        <f t="shared" si="107"/>
        <v>8</v>
      </c>
      <c r="B339" s="139"/>
      <c r="C339" s="232" t="s">
        <v>266</v>
      </c>
      <c r="D339" s="108">
        <v>26</v>
      </c>
      <c r="E339" s="108">
        <v>780</v>
      </c>
      <c r="F339" s="108">
        <v>1</v>
      </c>
      <c r="G339" s="108">
        <f t="shared" si="104"/>
        <v>780</v>
      </c>
      <c r="H339" s="108">
        <v>16</v>
      </c>
      <c r="I339" s="108">
        <v>1</v>
      </c>
      <c r="J339" s="108">
        <v>324</v>
      </c>
      <c r="K339" s="108">
        <v>115</v>
      </c>
      <c r="L339" s="108">
        <f t="shared" si="105"/>
        <v>439</v>
      </c>
      <c r="M339" s="108">
        <f t="shared" si="106"/>
        <v>439</v>
      </c>
      <c r="N339" s="149">
        <v>0.78</v>
      </c>
      <c r="O339" s="149">
        <v>0.46</v>
      </c>
    </row>
    <row r="340" spans="1:15" s="231" customFormat="1">
      <c r="A340" s="108">
        <f t="shared" si="107"/>
        <v>9</v>
      </c>
      <c r="B340" s="139"/>
      <c r="C340" s="232" t="s">
        <v>896</v>
      </c>
      <c r="D340" s="108">
        <v>4</v>
      </c>
      <c r="E340" s="108">
        <v>96</v>
      </c>
      <c r="F340" s="108">
        <v>1</v>
      </c>
      <c r="G340" s="108">
        <f t="shared" si="104"/>
        <v>96</v>
      </c>
      <c r="H340" s="108">
        <v>0</v>
      </c>
      <c r="I340" s="108">
        <v>0</v>
      </c>
      <c r="J340" s="108">
        <v>0</v>
      </c>
      <c r="K340" s="108">
        <v>0</v>
      </c>
      <c r="L340" s="108">
        <f t="shared" si="105"/>
        <v>0</v>
      </c>
      <c r="M340" s="108">
        <f t="shared" si="106"/>
        <v>0</v>
      </c>
      <c r="N340" s="149">
        <v>0.72</v>
      </c>
      <c r="O340" s="149">
        <v>0</v>
      </c>
    </row>
    <row r="341" spans="1:15" s="231" customFormat="1" ht="24" customHeight="1">
      <c r="A341" s="108">
        <f t="shared" si="107"/>
        <v>10</v>
      </c>
      <c r="B341" s="139"/>
      <c r="C341" s="232" t="s">
        <v>897</v>
      </c>
      <c r="D341" s="141">
        <v>1</v>
      </c>
      <c r="E341" s="108">
        <v>30</v>
      </c>
      <c r="F341" s="108">
        <v>6</v>
      </c>
      <c r="G341" s="108">
        <f t="shared" si="104"/>
        <v>180</v>
      </c>
      <c r="H341" s="108">
        <v>1</v>
      </c>
      <c r="I341" s="108">
        <v>7</v>
      </c>
      <c r="J341" s="108">
        <v>25</v>
      </c>
      <c r="K341" s="108">
        <v>0</v>
      </c>
      <c r="L341" s="108">
        <f t="shared" si="105"/>
        <v>25</v>
      </c>
      <c r="M341" s="108">
        <f t="shared" si="106"/>
        <v>175</v>
      </c>
      <c r="N341" s="149">
        <v>1.5</v>
      </c>
      <c r="O341" s="149">
        <v>1.56</v>
      </c>
    </row>
    <row r="342" spans="1:15" s="231" customFormat="1" ht="24">
      <c r="A342" s="108">
        <f>1+A341</f>
        <v>11</v>
      </c>
      <c r="B342" s="139"/>
      <c r="C342" s="232" t="s">
        <v>267</v>
      </c>
      <c r="D342" s="108">
        <v>24</v>
      </c>
      <c r="E342" s="108">
        <v>576</v>
      </c>
      <c r="F342" s="108">
        <v>4</v>
      </c>
      <c r="G342" s="108">
        <f t="shared" si="104"/>
        <v>2304</v>
      </c>
      <c r="H342" s="108">
        <v>8</v>
      </c>
      <c r="I342" s="108">
        <v>4</v>
      </c>
      <c r="J342" s="108">
        <v>146</v>
      </c>
      <c r="K342" s="108">
        <v>43</v>
      </c>
      <c r="L342" s="108">
        <f t="shared" si="105"/>
        <v>189</v>
      </c>
      <c r="M342" s="108">
        <f t="shared" si="106"/>
        <v>756</v>
      </c>
      <c r="N342" s="149">
        <v>8.16</v>
      </c>
      <c r="O342" s="149">
        <v>2.23</v>
      </c>
    </row>
    <row r="343" spans="1:15" s="231" customFormat="1" ht="15" customHeight="1">
      <c r="A343" s="108">
        <f t="shared" si="107"/>
        <v>12</v>
      </c>
      <c r="B343" s="139"/>
      <c r="C343" s="232" t="s">
        <v>271</v>
      </c>
      <c r="D343" s="108">
        <v>10</v>
      </c>
      <c r="E343" s="108">
        <v>240</v>
      </c>
      <c r="F343" s="108">
        <v>2</v>
      </c>
      <c r="G343" s="108">
        <f t="shared" si="104"/>
        <v>480</v>
      </c>
      <c r="H343" s="108">
        <v>4</v>
      </c>
      <c r="I343" s="108">
        <v>2</v>
      </c>
      <c r="J343" s="108">
        <v>280</v>
      </c>
      <c r="K343" s="108">
        <v>114</v>
      </c>
      <c r="L343" s="108">
        <f t="shared" si="105"/>
        <v>394</v>
      </c>
      <c r="M343" s="108">
        <f t="shared" si="106"/>
        <v>788</v>
      </c>
      <c r="N343" s="149">
        <v>1.8</v>
      </c>
      <c r="O343" s="149">
        <v>2.0299999999999998</v>
      </c>
    </row>
    <row r="344" spans="1:15" s="231" customFormat="1" ht="36">
      <c r="A344" s="108">
        <f t="shared" si="107"/>
        <v>13</v>
      </c>
      <c r="B344" s="139"/>
      <c r="C344" s="232" t="s">
        <v>898</v>
      </c>
      <c r="D344" s="108">
        <v>34</v>
      </c>
      <c r="E344" s="108">
        <v>2720</v>
      </c>
      <c r="F344" s="108">
        <v>1</v>
      </c>
      <c r="G344" s="108">
        <f t="shared" si="104"/>
        <v>2720</v>
      </c>
      <c r="H344" s="108">
        <v>4</v>
      </c>
      <c r="I344" s="108">
        <v>1</v>
      </c>
      <c r="J344" s="108">
        <v>355</v>
      </c>
      <c r="K344" s="108">
        <v>137</v>
      </c>
      <c r="L344" s="108">
        <f t="shared" si="105"/>
        <v>492</v>
      </c>
      <c r="M344" s="108">
        <f t="shared" si="106"/>
        <v>492</v>
      </c>
      <c r="N344" s="149">
        <v>2.04</v>
      </c>
      <c r="O344" s="149">
        <v>0.91</v>
      </c>
    </row>
    <row r="345" spans="1:15" s="231" customFormat="1" ht="24">
      <c r="A345" s="108">
        <f>1+A344</f>
        <v>14</v>
      </c>
      <c r="B345" s="139"/>
      <c r="C345" s="232" t="s">
        <v>268</v>
      </c>
      <c r="D345" s="108">
        <v>1</v>
      </c>
      <c r="E345" s="108">
        <v>30</v>
      </c>
      <c r="F345" s="108">
        <v>1</v>
      </c>
      <c r="G345" s="108">
        <f t="shared" si="104"/>
        <v>30</v>
      </c>
      <c r="H345" s="108">
        <v>1</v>
      </c>
      <c r="I345" s="108">
        <v>1</v>
      </c>
      <c r="J345" s="108">
        <v>29</v>
      </c>
      <c r="K345" s="108">
        <v>1</v>
      </c>
      <c r="L345" s="108">
        <f t="shared" si="105"/>
        <v>30</v>
      </c>
      <c r="M345" s="108">
        <f t="shared" si="106"/>
        <v>30</v>
      </c>
      <c r="N345" s="149">
        <v>0.5</v>
      </c>
      <c r="O345" s="149">
        <v>0.5</v>
      </c>
    </row>
    <row r="346" spans="1:15" s="231" customFormat="1" ht="24">
      <c r="A346" s="108">
        <f t="shared" si="107"/>
        <v>15</v>
      </c>
      <c r="B346" s="139"/>
      <c r="C346" s="232" t="s">
        <v>899</v>
      </c>
      <c r="D346" s="108">
        <v>62</v>
      </c>
      <c r="E346" s="108">
        <v>1860</v>
      </c>
      <c r="F346" s="108">
        <v>1</v>
      </c>
      <c r="G346" s="108">
        <f t="shared" si="104"/>
        <v>1860</v>
      </c>
      <c r="H346" s="108">
        <v>15</v>
      </c>
      <c r="I346" s="108">
        <v>1</v>
      </c>
      <c r="J346" s="108">
        <v>294</v>
      </c>
      <c r="K346" s="108">
        <v>119</v>
      </c>
      <c r="L346" s="108">
        <f t="shared" si="105"/>
        <v>413</v>
      </c>
      <c r="M346" s="108">
        <f t="shared" si="106"/>
        <v>413</v>
      </c>
      <c r="N346" s="149">
        <v>2.17</v>
      </c>
      <c r="O346" s="149">
        <v>0.38</v>
      </c>
    </row>
    <row r="347" spans="1:15" s="231" customFormat="1" ht="24">
      <c r="A347" s="108">
        <f t="shared" si="107"/>
        <v>16</v>
      </c>
      <c r="B347" s="139"/>
      <c r="C347" s="232" t="s">
        <v>900</v>
      </c>
      <c r="D347" s="108">
        <v>1</v>
      </c>
      <c r="E347" s="108">
        <v>40</v>
      </c>
      <c r="F347" s="108">
        <v>1</v>
      </c>
      <c r="G347" s="108">
        <f t="shared" si="104"/>
        <v>40</v>
      </c>
      <c r="H347" s="108">
        <v>1</v>
      </c>
      <c r="I347" s="108">
        <v>1</v>
      </c>
      <c r="J347" s="108">
        <v>40</v>
      </c>
      <c r="K347" s="108">
        <v>1</v>
      </c>
      <c r="L347" s="108">
        <f t="shared" si="105"/>
        <v>41</v>
      </c>
      <c r="M347" s="108">
        <f t="shared" si="106"/>
        <v>41</v>
      </c>
      <c r="N347" s="149">
        <v>0.6</v>
      </c>
      <c r="O347" s="149">
        <v>0.49</v>
      </c>
    </row>
    <row r="348" spans="1:15" s="231" customFormat="1" ht="24">
      <c r="A348" s="108">
        <f t="shared" si="107"/>
        <v>17</v>
      </c>
      <c r="B348" s="139"/>
      <c r="C348" s="232" t="s">
        <v>901</v>
      </c>
      <c r="D348" s="108">
        <v>1</v>
      </c>
      <c r="E348" s="108">
        <v>30</v>
      </c>
      <c r="F348" s="108">
        <v>3</v>
      </c>
      <c r="G348" s="108">
        <f t="shared" si="104"/>
        <v>90</v>
      </c>
      <c r="H348" s="108">
        <v>0</v>
      </c>
      <c r="I348" s="108">
        <v>0</v>
      </c>
      <c r="J348" s="108">
        <v>0</v>
      </c>
      <c r="K348" s="108">
        <v>0</v>
      </c>
      <c r="L348" s="108">
        <f t="shared" si="105"/>
        <v>0</v>
      </c>
      <c r="M348" s="108">
        <f t="shared" si="106"/>
        <v>0</v>
      </c>
      <c r="N348" s="149">
        <v>2.5</v>
      </c>
      <c r="O348" s="149">
        <v>0</v>
      </c>
    </row>
    <row r="349" spans="1:15" s="231" customFormat="1">
      <c r="A349" s="108">
        <f>1+A348</f>
        <v>18</v>
      </c>
      <c r="B349" s="139"/>
      <c r="C349" s="232" t="s">
        <v>902</v>
      </c>
      <c r="D349" s="108">
        <v>2</v>
      </c>
      <c r="E349" s="108">
        <v>40</v>
      </c>
      <c r="F349" s="108">
        <v>2</v>
      </c>
      <c r="G349" s="108">
        <f t="shared" si="104"/>
        <v>80</v>
      </c>
      <c r="H349" s="108">
        <v>0</v>
      </c>
      <c r="I349" s="108">
        <v>0</v>
      </c>
      <c r="J349" s="108">
        <v>0</v>
      </c>
      <c r="K349" s="108">
        <v>0</v>
      </c>
      <c r="L349" s="108">
        <f t="shared" si="105"/>
        <v>0</v>
      </c>
      <c r="M349" s="108">
        <f t="shared" si="106"/>
        <v>0</v>
      </c>
      <c r="N349" s="149">
        <v>1</v>
      </c>
      <c r="O349" s="149">
        <v>0</v>
      </c>
    </row>
    <row r="350" spans="1:15" s="231" customFormat="1" ht="24">
      <c r="A350" s="108">
        <f t="shared" si="107"/>
        <v>19</v>
      </c>
      <c r="B350" s="139"/>
      <c r="C350" s="232" t="s">
        <v>409</v>
      </c>
      <c r="D350" s="108">
        <v>1</v>
      </c>
      <c r="E350" s="108">
        <v>24</v>
      </c>
      <c r="F350" s="108">
        <v>3</v>
      </c>
      <c r="G350" s="108">
        <f t="shared" si="104"/>
        <v>72</v>
      </c>
      <c r="H350" s="108">
        <v>1</v>
      </c>
      <c r="I350" s="108">
        <v>6</v>
      </c>
      <c r="J350" s="108">
        <v>18</v>
      </c>
      <c r="K350" s="108">
        <v>6</v>
      </c>
      <c r="L350" s="108">
        <f t="shared" si="105"/>
        <v>24</v>
      </c>
      <c r="M350" s="108">
        <f t="shared" si="106"/>
        <v>144</v>
      </c>
      <c r="N350" s="149">
        <v>0.5</v>
      </c>
      <c r="O350" s="149">
        <v>0.5</v>
      </c>
    </row>
    <row r="351" spans="1:15" s="231" customFormat="1">
      <c r="A351" s="108">
        <f t="shared" si="107"/>
        <v>20</v>
      </c>
      <c r="B351" s="139"/>
      <c r="C351" s="232" t="s">
        <v>968</v>
      </c>
      <c r="D351" s="108">
        <v>14</v>
      </c>
      <c r="E351" s="108">
        <v>336</v>
      </c>
      <c r="F351" s="108">
        <v>2</v>
      </c>
      <c r="G351" s="108">
        <f t="shared" si="104"/>
        <v>672</v>
      </c>
      <c r="H351" s="108">
        <v>14</v>
      </c>
      <c r="I351" s="108">
        <v>2</v>
      </c>
      <c r="J351" s="108">
        <v>240</v>
      </c>
      <c r="K351" s="108">
        <v>100</v>
      </c>
      <c r="L351" s="108">
        <f t="shared" si="105"/>
        <v>340</v>
      </c>
      <c r="M351" s="108">
        <f t="shared" si="106"/>
        <v>680</v>
      </c>
      <c r="N351" s="149">
        <v>2.2400000000000002</v>
      </c>
      <c r="O351" s="149">
        <v>4.16</v>
      </c>
    </row>
    <row r="352" spans="1:15" s="231" customFormat="1">
      <c r="A352" s="108">
        <f t="shared" si="107"/>
        <v>21</v>
      </c>
      <c r="B352" s="139"/>
      <c r="C352" s="232" t="s">
        <v>903</v>
      </c>
      <c r="D352" s="108">
        <v>67</v>
      </c>
      <c r="E352" s="108">
        <v>2010</v>
      </c>
      <c r="F352" s="108">
        <v>1</v>
      </c>
      <c r="G352" s="108">
        <f t="shared" si="104"/>
        <v>2010</v>
      </c>
      <c r="H352" s="108">
        <v>18</v>
      </c>
      <c r="I352" s="108">
        <v>1</v>
      </c>
      <c r="J352" s="108">
        <v>734</v>
      </c>
      <c r="K352" s="108">
        <v>570</v>
      </c>
      <c r="L352" s="108">
        <f t="shared" si="105"/>
        <v>1304</v>
      </c>
      <c r="M352" s="108">
        <f t="shared" si="106"/>
        <v>1304</v>
      </c>
      <c r="N352" s="149">
        <v>1.47</v>
      </c>
      <c r="O352" s="149">
        <v>1.19</v>
      </c>
    </row>
    <row r="353" spans="1:15" s="80" customFormat="1" ht="16.5" customHeight="1">
      <c r="A353" s="582"/>
      <c r="B353" s="941" t="s">
        <v>1365</v>
      </c>
      <c r="C353" s="941"/>
      <c r="D353" s="582">
        <f>SUM(D332:D352)</f>
        <v>295</v>
      </c>
      <c r="E353" s="582">
        <f t="shared" ref="E353:O353" si="108">SUM(E332:E352)</f>
        <v>10092</v>
      </c>
      <c r="F353" s="582"/>
      <c r="G353" s="582">
        <f t="shared" si="108"/>
        <v>12894</v>
      </c>
      <c r="H353" s="582">
        <f t="shared" si="108"/>
        <v>113</v>
      </c>
      <c r="I353" s="582"/>
      <c r="J353" s="582">
        <f t="shared" si="108"/>
        <v>3070</v>
      </c>
      <c r="K353" s="582">
        <f t="shared" si="108"/>
        <v>1453</v>
      </c>
      <c r="L353" s="582">
        <f t="shared" si="108"/>
        <v>4523</v>
      </c>
      <c r="M353" s="582">
        <f t="shared" si="108"/>
        <v>6035</v>
      </c>
      <c r="N353" s="583">
        <f t="shared" si="108"/>
        <v>34.07</v>
      </c>
      <c r="O353" s="584">
        <f t="shared" si="108"/>
        <v>25.86</v>
      </c>
    </row>
    <row r="354" spans="1:15" ht="20.25">
      <c r="A354" s="181" t="s">
        <v>498</v>
      </c>
      <c r="B354" s="169"/>
      <c r="C354" s="159"/>
      <c r="D354" s="159"/>
      <c r="E354" s="159"/>
      <c r="F354" s="159"/>
      <c r="G354" s="159"/>
      <c r="H354" s="159"/>
      <c r="I354" s="159"/>
      <c r="J354" s="159"/>
      <c r="K354" s="159"/>
      <c r="L354" s="159"/>
      <c r="M354" s="169"/>
      <c r="N354" s="174"/>
      <c r="O354" s="174"/>
    </row>
    <row r="355" spans="1:15" s="234" customFormat="1" ht="24">
      <c r="A355" s="235">
        <v>1</v>
      </c>
      <c r="B355" s="235" t="s">
        <v>988</v>
      </c>
      <c r="C355" s="232" t="s">
        <v>974</v>
      </c>
      <c r="D355" s="235">
        <v>1</v>
      </c>
      <c r="E355" s="235">
        <v>110</v>
      </c>
      <c r="F355" s="235">
        <v>1</v>
      </c>
      <c r="G355" s="235">
        <v>110</v>
      </c>
      <c r="H355" s="235">
        <v>1</v>
      </c>
      <c r="I355" s="235">
        <v>1</v>
      </c>
      <c r="J355" s="235">
        <v>107</v>
      </c>
      <c r="K355" s="235">
        <v>2</v>
      </c>
      <c r="L355" s="235">
        <v>109</v>
      </c>
      <c r="M355" s="235">
        <v>109</v>
      </c>
      <c r="N355" s="268">
        <v>1.28</v>
      </c>
      <c r="O355" s="268">
        <v>1.28</v>
      </c>
    </row>
    <row r="356" spans="1:15" s="234" customFormat="1" ht="24">
      <c r="A356" s="235">
        <f>A355+1</f>
        <v>2</v>
      </c>
      <c r="B356" s="235" t="s">
        <v>987</v>
      </c>
      <c r="C356" s="232" t="s">
        <v>974</v>
      </c>
      <c r="D356" s="235">
        <v>1</v>
      </c>
      <c r="E356" s="235">
        <v>48</v>
      </c>
      <c r="F356" s="235">
        <v>1</v>
      </c>
      <c r="G356" s="235">
        <v>48</v>
      </c>
      <c r="H356" s="235">
        <v>1</v>
      </c>
      <c r="I356" s="235">
        <v>1</v>
      </c>
      <c r="J356" s="235">
        <v>46</v>
      </c>
      <c r="K356" s="235">
        <v>2</v>
      </c>
      <c r="L356" s="235">
        <v>48</v>
      </c>
      <c r="M356" s="235">
        <v>48</v>
      </c>
      <c r="N356" s="268">
        <v>1.05</v>
      </c>
      <c r="O356" s="268">
        <v>1.05</v>
      </c>
    </row>
    <row r="357" spans="1:15" s="234" customFormat="1" ht="24">
      <c r="A357" s="235">
        <f t="shared" ref="A357:A370" si="109">A356+1</f>
        <v>3</v>
      </c>
      <c r="B357" s="235" t="s">
        <v>984</v>
      </c>
      <c r="C357" s="232" t="s">
        <v>975</v>
      </c>
      <c r="D357" s="235">
        <v>1</v>
      </c>
      <c r="E357" s="235">
        <v>54</v>
      </c>
      <c r="F357" s="235">
        <v>1</v>
      </c>
      <c r="G357" s="235">
        <v>54</v>
      </c>
      <c r="H357" s="235">
        <v>1</v>
      </c>
      <c r="I357" s="235">
        <v>1</v>
      </c>
      <c r="J357" s="235">
        <v>36</v>
      </c>
      <c r="K357" s="235">
        <v>18</v>
      </c>
      <c r="L357" s="235">
        <v>54</v>
      </c>
      <c r="M357" s="235">
        <v>54</v>
      </c>
      <c r="N357" s="268">
        <v>1.36</v>
      </c>
      <c r="O357" s="268">
        <v>1.3</v>
      </c>
    </row>
    <row r="358" spans="1:15" s="234" customFormat="1" ht="24">
      <c r="A358" s="235">
        <f t="shared" si="109"/>
        <v>4</v>
      </c>
      <c r="B358" s="235" t="s">
        <v>989</v>
      </c>
      <c r="C358" s="232" t="s">
        <v>976</v>
      </c>
      <c r="D358" s="235">
        <v>1</v>
      </c>
      <c r="E358" s="235">
        <v>54</v>
      </c>
      <c r="F358" s="235">
        <v>1</v>
      </c>
      <c r="G358" s="235">
        <v>54</v>
      </c>
      <c r="H358" s="235">
        <v>1</v>
      </c>
      <c r="I358" s="235">
        <v>1</v>
      </c>
      <c r="J358" s="235">
        <v>50</v>
      </c>
      <c r="K358" s="235">
        <v>3</v>
      </c>
      <c r="L358" s="235">
        <v>53</v>
      </c>
      <c r="M358" s="235">
        <v>53</v>
      </c>
      <c r="N358" s="268">
        <v>1.36</v>
      </c>
      <c r="O358" s="268">
        <v>1.28</v>
      </c>
    </row>
    <row r="359" spans="1:15" s="234" customFormat="1" ht="24">
      <c r="A359" s="235">
        <f t="shared" si="109"/>
        <v>5</v>
      </c>
      <c r="B359" s="235" t="s">
        <v>990</v>
      </c>
      <c r="C359" s="232" t="s">
        <v>977</v>
      </c>
      <c r="D359" s="235">
        <v>1</v>
      </c>
      <c r="E359" s="235">
        <v>30</v>
      </c>
      <c r="F359" s="235">
        <v>2</v>
      </c>
      <c r="G359" s="235">
        <v>60</v>
      </c>
      <c r="H359" s="235">
        <v>1</v>
      </c>
      <c r="I359" s="235">
        <v>2</v>
      </c>
      <c r="J359" s="235">
        <v>23</v>
      </c>
      <c r="K359" s="235">
        <v>4</v>
      </c>
      <c r="L359" s="235">
        <v>27</v>
      </c>
      <c r="M359" s="235">
        <v>54</v>
      </c>
      <c r="N359" s="268">
        <v>8</v>
      </c>
      <c r="O359" s="268">
        <v>7.8</v>
      </c>
    </row>
    <row r="360" spans="1:15" s="234" customFormat="1" ht="36">
      <c r="A360" s="235">
        <f t="shared" si="109"/>
        <v>6</v>
      </c>
      <c r="B360" s="235" t="s">
        <v>991</v>
      </c>
      <c r="C360" s="232" t="s">
        <v>978</v>
      </c>
      <c r="D360" s="235">
        <v>1</v>
      </c>
      <c r="E360" s="235">
        <v>140</v>
      </c>
      <c r="F360" s="235">
        <v>1</v>
      </c>
      <c r="G360" s="235">
        <v>140</v>
      </c>
      <c r="H360" s="235">
        <v>1</v>
      </c>
      <c r="I360" s="235">
        <v>1</v>
      </c>
      <c r="J360" s="235">
        <v>124</v>
      </c>
      <c r="K360" s="235"/>
      <c r="L360" s="235">
        <v>124</v>
      </c>
      <c r="M360" s="235">
        <v>124</v>
      </c>
      <c r="N360" s="268">
        <v>2.8</v>
      </c>
      <c r="O360" s="268">
        <v>2.5</v>
      </c>
    </row>
    <row r="361" spans="1:15" s="234" customFormat="1">
      <c r="A361" s="235">
        <f t="shared" si="109"/>
        <v>7</v>
      </c>
      <c r="B361" s="235" t="s">
        <v>992</v>
      </c>
      <c r="C361" s="232" t="s">
        <v>979</v>
      </c>
      <c r="D361" s="235">
        <v>1</v>
      </c>
      <c r="E361" s="235">
        <v>30</v>
      </c>
      <c r="F361" s="235">
        <v>2</v>
      </c>
      <c r="G361" s="235">
        <v>60</v>
      </c>
      <c r="H361" s="235">
        <v>1</v>
      </c>
      <c r="I361" s="235">
        <v>2</v>
      </c>
      <c r="J361" s="235">
        <v>25</v>
      </c>
      <c r="K361" s="235">
        <v>2</v>
      </c>
      <c r="L361" s="235">
        <v>27</v>
      </c>
      <c r="M361" s="235">
        <v>54</v>
      </c>
      <c r="N361" s="268">
        <v>10</v>
      </c>
      <c r="O361" s="268">
        <v>9.8000000000000007</v>
      </c>
    </row>
    <row r="362" spans="1:15" s="234" customFormat="1" ht="24">
      <c r="A362" s="235">
        <f t="shared" si="109"/>
        <v>8</v>
      </c>
      <c r="B362" s="235" t="s">
        <v>983</v>
      </c>
      <c r="C362" s="232" t="s">
        <v>975</v>
      </c>
      <c r="D362" s="235">
        <v>1</v>
      </c>
      <c r="E362" s="235">
        <v>17</v>
      </c>
      <c r="F362" s="235">
        <v>1</v>
      </c>
      <c r="G362" s="235">
        <v>17</v>
      </c>
      <c r="H362" s="235">
        <v>1</v>
      </c>
      <c r="I362" s="235">
        <v>1</v>
      </c>
      <c r="J362" s="235">
        <v>10</v>
      </c>
      <c r="K362" s="235">
        <v>6</v>
      </c>
      <c r="L362" s="235">
        <v>16</v>
      </c>
      <c r="M362" s="235">
        <v>16</v>
      </c>
      <c r="N362" s="268">
        <v>0.52</v>
      </c>
      <c r="O362" s="268">
        <v>0.52</v>
      </c>
    </row>
    <row r="363" spans="1:15" s="234" customFormat="1" ht="24">
      <c r="A363" s="235">
        <f t="shared" si="109"/>
        <v>9</v>
      </c>
      <c r="B363" s="235" t="s">
        <v>983</v>
      </c>
      <c r="C363" s="232" t="s">
        <v>975</v>
      </c>
      <c r="D363" s="235">
        <v>1</v>
      </c>
      <c r="E363" s="235">
        <v>23</v>
      </c>
      <c r="F363" s="235">
        <v>1</v>
      </c>
      <c r="G363" s="235">
        <v>23</v>
      </c>
      <c r="H363" s="235">
        <v>1</v>
      </c>
      <c r="I363" s="235">
        <v>1</v>
      </c>
      <c r="J363" s="235">
        <v>12</v>
      </c>
      <c r="K363" s="235">
        <v>9</v>
      </c>
      <c r="L363" s="235">
        <v>21</v>
      </c>
      <c r="M363" s="235">
        <v>21</v>
      </c>
      <c r="N363" s="268">
        <v>0.87</v>
      </c>
      <c r="O363" s="268">
        <v>0.85</v>
      </c>
    </row>
    <row r="364" spans="1:15" s="234" customFormat="1" ht="48">
      <c r="A364" s="235">
        <f t="shared" si="109"/>
        <v>10</v>
      </c>
      <c r="B364" s="235" t="s">
        <v>993</v>
      </c>
      <c r="C364" s="232" t="s">
        <v>980</v>
      </c>
      <c r="D364" s="235">
        <v>4</v>
      </c>
      <c r="E364" s="235">
        <v>30</v>
      </c>
      <c r="F364" s="235">
        <v>1</v>
      </c>
      <c r="G364" s="235">
        <v>120</v>
      </c>
      <c r="H364" s="235">
        <v>4</v>
      </c>
      <c r="I364" s="235">
        <v>1</v>
      </c>
      <c r="J364" s="235">
        <v>79</v>
      </c>
      <c r="K364" s="235">
        <v>2</v>
      </c>
      <c r="L364" s="235">
        <v>81</v>
      </c>
      <c r="M364" s="235">
        <v>81</v>
      </c>
      <c r="N364" s="268">
        <v>10</v>
      </c>
      <c r="O364" s="268">
        <v>9.6999999999999993</v>
      </c>
    </row>
    <row r="365" spans="1:15" s="234" customFormat="1" ht="24">
      <c r="A365" s="235">
        <f t="shared" si="109"/>
        <v>11</v>
      </c>
      <c r="B365" s="235" t="s">
        <v>499</v>
      </c>
      <c r="C365" s="232" t="s">
        <v>975</v>
      </c>
      <c r="D365" s="235">
        <v>1</v>
      </c>
      <c r="E365" s="235">
        <v>24</v>
      </c>
      <c r="F365" s="235">
        <v>1</v>
      </c>
      <c r="G365" s="235">
        <v>24</v>
      </c>
      <c r="H365" s="235">
        <v>1</v>
      </c>
      <c r="I365" s="235">
        <v>1</v>
      </c>
      <c r="J365" s="235">
        <v>14</v>
      </c>
      <c r="K365" s="235">
        <v>10</v>
      </c>
      <c r="L365" s="235">
        <v>24</v>
      </c>
      <c r="M365" s="235">
        <v>24</v>
      </c>
      <c r="N365" s="268">
        <v>0.73</v>
      </c>
      <c r="O365" s="268">
        <v>0.73</v>
      </c>
    </row>
    <row r="366" spans="1:15" s="234" customFormat="1" ht="24">
      <c r="A366" s="235">
        <f t="shared" si="109"/>
        <v>12</v>
      </c>
      <c r="B366" s="235" t="s">
        <v>499</v>
      </c>
      <c r="C366" s="232" t="s">
        <v>975</v>
      </c>
      <c r="D366" s="235">
        <v>1</v>
      </c>
      <c r="E366" s="235">
        <v>16</v>
      </c>
      <c r="F366" s="235">
        <v>1</v>
      </c>
      <c r="G366" s="235">
        <v>16</v>
      </c>
      <c r="H366" s="235">
        <v>1</v>
      </c>
      <c r="I366" s="235">
        <v>1</v>
      </c>
      <c r="J366" s="235">
        <v>10</v>
      </c>
      <c r="K366" s="235">
        <v>5</v>
      </c>
      <c r="L366" s="235">
        <v>15</v>
      </c>
      <c r="M366" s="235">
        <v>15</v>
      </c>
      <c r="N366" s="268">
        <v>0.49</v>
      </c>
      <c r="O366" s="268">
        <v>0.48</v>
      </c>
    </row>
    <row r="367" spans="1:15" s="234" customFormat="1" ht="24">
      <c r="A367" s="235">
        <f t="shared" si="109"/>
        <v>13</v>
      </c>
      <c r="B367" s="235" t="s">
        <v>499</v>
      </c>
      <c r="C367" s="232" t="s">
        <v>975</v>
      </c>
      <c r="D367" s="235">
        <v>1</v>
      </c>
      <c r="E367" s="235">
        <v>25</v>
      </c>
      <c r="F367" s="235">
        <v>1</v>
      </c>
      <c r="G367" s="235">
        <v>25</v>
      </c>
      <c r="H367" s="235">
        <v>1</v>
      </c>
      <c r="I367" s="235">
        <v>1</v>
      </c>
      <c r="J367" s="235">
        <v>14</v>
      </c>
      <c r="K367" s="235">
        <v>10</v>
      </c>
      <c r="L367" s="235">
        <v>24</v>
      </c>
      <c r="M367" s="235">
        <v>24</v>
      </c>
      <c r="N367" s="268">
        <v>0.99</v>
      </c>
      <c r="O367" s="268">
        <v>0.92</v>
      </c>
    </row>
    <row r="368" spans="1:15" s="234" customFormat="1">
      <c r="A368" s="235">
        <f t="shared" si="109"/>
        <v>14</v>
      </c>
      <c r="B368" s="235" t="s">
        <v>986</v>
      </c>
      <c r="C368" s="232" t="s">
        <v>981</v>
      </c>
      <c r="D368" s="235">
        <v>6</v>
      </c>
      <c r="E368" s="235">
        <v>30</v>
      </c>
      <c r="F368" s="235">
        <v>2</v>
      </c>
      <c r="G368" s="235">
        <v>360</v>
      </c>
      <c r="H368" s="235">
        <v>6</v>
      </c>
      <c r="I368" s="235">
        <v>2</v>
      </c>
      <c r="J368" s="235">
        <v>144</v>
      </c>
      <c r="K368" s="235">
        <v>16</v>
      </c>
      <c r="L368" s="235">
        <v>160</v>
      </c>
      <c r="M368" s="235">
        <v>320</v>
      </c>
      <c r="N368" s="268">
        <v>12</v>
      </c>
      <c r="O368" s="268">
        <v>11.5</v>
      </c>
    </row>
    <row r="369" spans="1:17" s="234" customFormat="1" ht="24">
      <c r="A369" s="235">
        <f t="shared" si="109"/>
        <v>15</v>
      </c>
      <c r="B369" s="235" t="s">
        <v>499</v>
      </c>
      <c r="C369" s="232" t="s">
        <v>975</v>
      </c>
      <c r="D369" s="235">
        <v>1</v>
      </c>
      <c r="E369" s="235">
        <v>25</v>
      </c>
      <c r="F369" s="235">
        <v>1</v>
      </c>
      <c r="G369" s="235">
        <v>25</v>
      </c>
      <c r="H369" s="235">
        <v>1</v>
      </c>
      <c r="I369" s="235">
        <v>1</v>
      </c>
      <c r="J369" s="235">
        <v>13</v>
      </c>
      <c r="K369" s="235">
        <v>11</v>
      </c>
      <c r="L369" s="235">
        <v>24</v>
      </c>
      <c r="M369" s="235">
        <v>24</v>
      </c>
      <c r="N369" s="268">
        <v>0.81</v>
      </c>
      <c r="O369" s="268">
        <v>0.81</v>
      </c>
    </row>
    <row r="370" spans="1:17" s="234" customFormat="1" ht="24">
      <c r="A370" s="235">
        <f t="shared" si="109"/>
        <v>16</v>
      </c>
      <c r="B370" s="235" t="s">
        <v>994</v>
      </c>
      <c r="C370" s="232" t="s">
        <v>982</v>
      </c>
      <c r="D370" s="235">
        <v>48</v>
      </c>
      <c r="E370" s="235">
        <v>40</v>
      </c>
      <c r="F370" s="235">
        <v>1</v>
      </c>
      <c r="G370" s="235">
        <v>1920</v>
      </c>
      <c r="H370" s="235">
        <v>48</v>
      </c>
      <c r="I370" s="235">
        <v>1</v>
      </c>
      <c r="J370" s="235">
        <v>25</v>
      </c>
      <c r="K370" s="235">
        <v>15</v>
      </c>
      <c r="L370" s="235">
        <v>40</v>
      </c>
      <c r="M370" s="235">
        <v>1920</v>
      </c>
      <c r="N370" s="236">
        <v>24</v>
      </c>
      <c r="O370" s="236">
        <v>24</v>
      </c>
    </row>
    <row r="371" spans="1:17" s="80" customFormat="1">
      <c r="A371" s="582"/>
      <c r="B371" s="941" t="s">
        <v>1291</v>
      </c>
      <c r="C371" s="941" t="s">
        <v>500</v>
      </c>
      <c r="D371" s="582">
        <f>SUM(D355:D370)</f>
        <v>71</v>
      </c>
      <c r="E371" s="582">
        <f>SUM(E355:E370)</f>
        <v>696</v>
      </c>
      <c r="F371" s="582"/>
      <c r="G371" s="582">
        <f>SUM(G355:G370)</f>
        <v>3056</v>
      </c>
      <c r="H371" s="582">
        <f>SUM(H355:H370)</f>
        <v>71</v>
      </c>
      <c r="I371" s="582"/>
      <c r="J371" s="582">
        <f>SUM(J355:J370)</f>
        <v>732</v>
      </c>
      <c r="K371" s="582">
        <f t="shared" ref="K371:M371" si="110">SUM(K355:K370)</f>
        <v>115</v>
      </c>
      <c r="L371" s="582">
        <f t="shared" si="110"/>
        <v>847</v>
      </c>
      <c r="M371" s="582">
        <f t="shared" si="110"/>
        <v>2941</v>
      </c>
      <c r="N371" s="583">
        <f t="shared" ref="N371:O371" si="111">SUM(N355:N370)</f>
        <v>76.260000000000005</v>
      </c>
      <c r="O371" s="584">
        <f t="shared" si="111"/>
        <v>74.52</v>
      </c>
    </row>
    <row r="372" spans="1:17" ht="18">
      <c r="A372" s="181" t="s">
        <v>501</v>
      </c>
      <c r="B372" s="175"/>
      <c r="C372" s="169"/>
      <c r="D372" s="175"/>
      <c r="E372" s="175"/>
      <c r="F372" s="175"/>
      <c r="G372" s="175"/>
      <c r="H372" s="175"/>
      <c r="I372" s="175"/>
      <c r="J372" s="175"/>
      <c r="K372" s="175"/>
      <c r="L372" s="175"/>
      <c r="M372" s="175"/>
      <c r="N372" s="174"/>
      <c r="O372" s="174"/>
    </row>
    <row r="373" spans="1:17" s="234" customFormat="1" ht="24">
      <c r="A373" s="108">
        <v>1</v>
      </c>
      <c r="B373" s="233" t="s">
        <v>376</v>
      </c>
      <c r="C373" s="232" t="s">
        <v>524</v>
      </c>
      <c r="D373" s="108">
        <v>200</v>
      </c>
      <c r="E373" s="108">
        <v>4000</v>
      </c>
      <c r="F373" s="108">
        <v>2</v>
      </c>
      <c r="G373" s="108">
        <v>8000</v>
      </c>
      <c r="H373" s="210">
        <v>148</v>
      </c>
      <c r="I373" s="141" t="s">
        <v>523</v>
      </c>
      <c r="J373" s="141">
        <v>130</v>
      </c>
      <c r="K373" s="141">
        <v>3660</v>
      </c>
      <c r="L373" s="141">
        <f>J373+K373</f>
        <v>3790</v>
      </c>
      <c r="M373" s="210">
        <f>I373*L373</f>
        <v>7580</v>
      </c>
      <c r="N373" s="140">
        <v>36</v>
      </c>
      <c r="O373" s="140">
        <v>34.81</v>
      </c>
    </row>
    <row r="374" spans="1:17" s="234" customFormat="1" ht="24">
      <c r="A374" s="108">
        <f>A373+1</f>
        <v>2</v>
      </c>
      <c r="B374" s="233" t="s">
        <v>194</v>
      </c>
      <c r="C374" s="232" t="s">
        <v>525</v>
      </c>
      <c r="D374" s="108">
        <v>8</v>
      </c>
      <c r="E374" s="108">
        <v>200</v>
      </c>
      <c r="F374" s="108">
        <v>2</v>
      </c>
      <c r="G374" s="108">
        <v>200</v>
      </c>
      <c r="H374" s="210">
        <v>6</v>
      </c>
      <c r="I374" s="141">
        <v>2</v>
      </c>
      <c r="J374" s="141">
        <v>15</v>
      </c>
      <c r="K374" s="141">
        <v>135</v>
      </c>
      <c r="L374" s="141">
        <f t="shared" ref="L374:L390" si="112">J374+K374</f>
        <v>150</v>
      </c>
      <c r="M374" s="210">
        <f>I374*L374</f>
        <v>300</v>
      </c>
      <c r="N374" s="140">
        <v>4</v>
      </c>
      <c r="O374" s="140">
        <v>3.98</v>
      </c>
    </row>
    <row r="375" spans="1:17" s="234" customFormat="1" ht="24">
      <c r="A375" s="108">
        <f t="shared" ref="A375:A390" si="113">A374+1</f>
        <v>3</v>
      </c>
      <c r="B375" s="233" t="s">
        <v>377</v>
      </c>
      <c r="C375" s="232" t="s">
        <v>526</v>
      </c>
      <c r="D375" s="108">
        <v>100</v>
      </c>
      <c r="E375" s="108">
        <v>2000</v>
      </c>
      <c r="F375" s="108">
        <v>3</v>
      </c>
      <c r="G375" s="108">
        <v>6000</v>
      </c>
      <c r="H375" s="141">
        <v>70</v>
      </c>
      <c r="I375" s="210">
        <v>3</v>
      </c>
      <c r="J375" s="141">
        <v>95</v>
      </c>
      <c r="K375" s="141">
        <v>1290</v>
      </c>
      <c r="L375" s="141">
        <f t="shared" si="112"/>
        <v>1385</v>
      </c>
      <c r="M375" s="210">
        <f>I375*L375</f>
        <v>4155</v>
      </c>
      <c r="N375" s="140">
        <v>30</v>
      </c>
      <c r="O375" s="140">
        <v>29.19</v>
      </c>
    </row>
    <row r="376" spans="1:17" s="234" customFormat="1">
      <c r="A376" s="108">
        <f t="shared" si="113"/>
        <v>4</v>
      </c>
      <c r="B376" s="233" t="s">
        <v>194</v>
      </c>
      <c r="C376" s="232" t="s">
        <v>527</v>
      </c>
      <c r="D376" s="108">
        <v>72</v>
      </c>
      <c r="E376" s="108">
        <v>1656</v>
      </c>
      <c r="F376" s="108">
        <v>1</v>
      </c>
      <c r="G376" s="108">
        <v>1656</v>
      </c>
      <c r="H376" s="210">
        <v>64</v>
      </c>
      <c r="I376" s="141">
        <v>1</v>
      </c>
      <c r="J376" s="141">
        <v>110</v>
      </c>
      <c r="K376" s="141">
        <v>1490</v>
      </c>
      <c r="L376" s="141">
        <f t="shared" si="112"/>
        <v>1600</v>
      </c>
      <c r="M376" s="210">
        <f>I376*L376</f>
        <v>1600</v>
      </c>
      <c r="N376" s="140">
        <v>4</v>
      </c>
      <c r="O376" s="140">
        <v>3.53</v>
      </c>
    </row>
    <row r="377" spans="1:17" s="234" customFormat="1">
      <c r="A377" s="108">
        <f t="shared" si="113"/>
        <v>5</v>
      </c>
      <c r="B377" s="233" t="s">
        <v>194</v>
      </c>
      <c r="C377" s="232" t="s">
        <v>528</v>
      </c>
      <c r="D377" s="108">
        <v>165</v>
      </c>
      <c r="E377" s="108">
        <v>3300</v>
      </c>
      <c r="F377" s="108">
        <v>1</v>
      </c>
      <c r="G377" s="108">
        <v>3300</v>
      </c>
      <c r="H377" s="210">
        <v>130</v>
      </c>
      <c r="I377" s="141">
        <v>1</v>
      </c>
      <c r="J377" s="141">
        <v>200</v>
      </c>
      <c r="K377" s="141">
        <v>2559</v>
      </c>
      <c r="L377" s="141">
        <f t="shared" si="112"/>
        <v>2759</v>
      </c>
      <c r="M377" s="210">
        <f t="shared" ref="M377:M382" si="114">I377*L377</f>
        <v>2759</v>
      </c>
      <c r="N377" s="140">
        <v>9</v>
      </c>
      <c r="O377" s="140">
        <v>8.7200000000000006</v>
      </c>
    </row>
    <row r="378" spans="1:17" s="234" customFormat="1">
      <c r="A378" s="108">
        <f t="shared" si="113"/>
        <v>6</v>
      </c>
      <c r="B378" s="233" t="s">
        <v>44</v>
      </c>
      <c r="C378" s="232" t="s">
        <v>304</v>
      </c>
      <c r="D378" s="108">
        <v>100</v>
      </c>
      <c r="E378" s="108">
        <v>2400</v>
      </c>
      <c r="F378" s="108">
        <v>3</v>
      </c>
      <c r="G378" s="108">
        <v>7200</v>
      </c>
      <c r="H378" s="210">
        <v>80</v>
      </c>
      <c r="I378" s="141">
        <v>3</v>
      </c>
      <c r="J378" s="141">
        <v>480</v>
      </c>
      <c r="K378" s="141">
        <v>1420</v>
      </c>
      <c r="L378" s="141">
        <f t="shared" si="112"/>
        <v>1900</v>
      </c>
      <c r="M378" s="210">
        <f t="shared" si="114"/>
        <v>5700</v>
      </c>
      <c r="N378" s="140">
        <v>3</v>
      </c>
      <c r="O378" s="140">
        <v>2.4500000000000002</v>
      </c>
    </row>
    <row r="379" spans="1:17" s="234" customFormat="1" ht="24">
      <c r="A379" s="108">
        <f t="shared" si="113"/>
        <v>7</v>
      </c>
      <c r="B379" s="233" t="s">
        <v>378</v>
      </c>
      <c r="C379" s="232" t="s">
        <v>222</v>
      </c>
      <c r="D379" s="108">
        <v>30</v>
      </c>
      <c r="E379" s="108">
        <v>750</v>
      </c>
      <c r="F379" s="108">
        <v>3</v>
      </c>
      <c r="G379" s="108">
        <v>2250</v>
      </c>
      <c r="H379" s="210">
        <v>25</v>
      </c>
      <c r="I379" s="141">
        <v>2</v>
      </c>
      <c r="J379" s="141">
        <v>8</v>
      </c>
      <c r="K379" s="141">
        <v>617</v>
      </c>
      <c r="L379" s="141">
        <f t="shared" si="112"/>
        <v>625</v>
      </c>
      <c r="M379" s="210">
        <f t="shared" si="114"/>
        <v>1250</v>
      </c>
      <c r="N379" s="140">
        <v>21.5</v>
      </c>
      <c r="O379" s="140">
        <v>21.4</v>
      </c>
    </row>
    <row r="380" spans="1:17" s="234" customFormat="1">
      <c r="A380" s="108">
        <f t="shared" si="113"/>
        <v>8</v>
      </c>
      <c r="B380" s="233" t="s">
        <v>380</v>
      </c>
      <c r="C380" s="232" t="s">
        <v>379</v>
      </c>
      <c r="D380" s="108">
        <v>50</v>
      </c>
      <c r="E380" s="108">
        <v>1250</v>
      </c>
      <c r="F380" s="108">
        <v>2</v>
      </c>
      <c r="G380" s="108">
        <v>2500</v>
      </c>
      <c r="H380" s="210">
        <v>15</v>
      </c>
      <c r="I380" s="141">
        <v>2</v>
      </c>
      <c r="J380" s="141">
        <v>3</v>
      </c>
      <c r="K380" s="141">
        <v>372</v>
      </c>
      <c r="L380" s="141">
        <f t="shared" si="112"/>
        <v>375</v>
      </c>
      <c r="M380" s="210">
        <f t="shared" si="114"/>
        <v>750</v>
      </c>
      <c r="N380" s="140">
        <v>6</v>
      </c>
      <c r="O380" s="140">
        <v>5.8</v>
      </c>
    </row>
    <row r="381" spans="1:17" s="234" customFormat="1" ht="24">
      <c r="A381" s="108">
        <f t="shared" si="113"/>
        <v>9</v>
      </c>
      <c r="B381" s="233" t="s">
        <v>393</v>
      </c>
      <c r="C381" s="232" t="s">
        <v>502</v>
      </c>
      <c r="D381" s="108">
        <v>55</v>
      </c>
      <c r="E381" s="108">
        <v>1375</v>
      </c>
      <c r="F381" s="108">
        <v>2</v>
      </c>
      <c r="G381" s="108">
        <v>2750</v>
      </c>
      <c r="H381" s="141">
        <v>35</v>
      </c>
      <c r="I381" s="141">
        <v>2</v>
      </c>
      <c r="J381" s="141">
        <v>18</v>
      </c>
      <c r="K381" s="141">
        <v>682</v>
      </c>
      <c r="L381" s="141">
        <f t="shared" si="112"/>
        <v>700</v>
      </c>
      <c r="M381" s="210">
        <f t="shared" si="114"/>
        <v>1400</v>
      </c>
      <c r="N381" s="140">
        <v>18.75</v>
      </c>
      <c r="O381" s="140">
        <v>16.95</v>
      </c>
    </row>
    <row r="382" spans="1:17" s="234" customFormat="1" ht="24">
      <c r="A382" s="108">
        <f t="shared" si="113"/>
        <v>10</v>
      </c>
      <c r="B382" s="233" t="s">
        <v>394</v>
      </c>
      <c r="C382" s="232" t="s">
        <v>529</v>
      </c>
      <c r="D382" s="108">
        <v>2</v>
      </c>
      <c r="E382" s="108">
        <v>46</v>
      </c>
      <c r="F382" s="108">
        <v>2</v>
      </c>
      <c r="G382" s="108">
        <v>92</v>
      </c>
      <c r="H382" s="141">
        <v>3</v>
      </c>
      <c r="I382" s="141">
        <v>2</v>
      </c>
      <c r="J382" s="141">
        <v>60</v>
      </c>
      <c r="K382" s="141">
        <v>20</v>
      </c>
      <c r="L382" s="141">
        <f>J382+K382</f>
        <v>80</v>
      </c>
      <c r="M382" s="210">
        <f t="shared" si="114"/>
        <v>160</v>
      </c>
      <c r="N382" s="140">
        <v>4</v>
      </c>
      <c r="O382" s="140">
        <v>6</v>
      </c>
    </row>
    <row r="383" spans="1:17" s="234" customFormat="1" ht="48">
      <c r="A383" s="108">
        <f t="shared" si="113"/>
        <v>11</v>
      </c>
      <c r="B383" s="235" t="s">
        <v>382</v>
      </c>
      <c r="C383" s="232" t="s">
        <v>381</v>
      </c>
      <c r="D383" s="108">
        <v>1</v>
      </c>
      <c r="E383" s="108">
        <v>25</v>
      </c>
      <c r="F383" s="108">
        <v>2</v>
      </c>
      <c r="G383" s="108">
        <v>288</v>
      </c>
      <c r="H383" s="210">
        <v>3</v>
      </c>
      <c r="I383" s="141">
        <v>2</v>
      </c>
      <c r="J383" s="141">
        <v>45</v>
      </c>
      <c r="K383" s="141">
        <v>45</v>
      </c>
      <c r="L383" s="141">
        <f t="shared" si="112"/>
        <v>90</v>
      </c>
      <c r="M383" s="210">
        <v>180</v>
      </c>
      <c r="N383" s="140">
        <v>2.5</v>
      </c>
      <c r="O383" s="140">
        <v>1.46</v>
      </c>
      <c r="Q383" s="234" t="s">
        <v>1269</v>
      </c>
    </row>
    <row r="384" spans="1:17" s="234" customFormat="1" ht="36">
      <c r="A384" s="108">
        <f t="shared" si="113"/>
        <v>12</v>
      </c>
      <c r="B384" s="235" t="s">
        <v>383</v>
      </c>
      <c r="C384" s="232" t="s">
        <v>530</v>
      </c>
      <c r="D384" s="108">
        <v>23</v>
      </c>
      <c r="E384" s="108">
        <v>575</v>
      </c>
      <c r="F384" s="108">
        <v>3</v>
      </c>
      <c r="G384" s="108">
        <v>1725</v>
      </c>
      <c r="H384" s="210">
        <v>9</v>
      </c>
      <c r="I384" s="141">
        <v>4</v>
      </c>
      <c r="J384" s="141">
        <v>0</v>
      </c>
      <c r="K384" s="141">
        <v>72</v>
      </c>
      <c r="L384" s="141">
        <f t="shared" si="112"/>
        <v>72</v>
      </c>
      <c r="M384" s="210">
        <v>288</v>
      </c>
      <c r="N384" s="140">
        <v>5.4</v>
      </c>
      <c r="O384" s="140">
        <v>5.2</v>
      </c>
    </row>
    <row r="385" spans="1:18" s="234" customFormat="1" ht="24">
      <c r="A385" s="108">
        <f t="shared" si="113"/>
        <v>13</v>
      </c>
      <c r="B385" s="235" t="s">
        <v>384</v>
      </c>
      <c r="C385" s="232" t="s">
        <v>338</v>
      </c>
      <c r="D385" s="108">
        <v>40</v>
      </c>
      <c r="E385" s="108">
        <v>1000</v>
      </c>
      <c r="F385" s="108">
        <v>4</v>
      </c>
      <c r="G385" s="108">
        <v>4000</v>
      </c>
      <c r="H385" s="210">
        <v>46</v>
      </c>
      <c r="I385" s="141">
        <v>4</v>
      </c>
      <c r="J385" s="141">
        <v>100</v>
      </c>
      <c r="K385" s="141">
        <v>1101</v>
      </c>
      <c r="L385" s="141">
        <f t="shared" si="112"/>
        <v>1201</v>
      </c>
      <c r="M385" s="210">
        <v>4804</v>
      </c>
      <c r="N385" s="140">
        <v>21</v>
      </c>
      <c r="O385" s="140">
        <v>20</v>
      </c>
    </row>
    <row r="386" spans="1:18" s="234" customFormat="1">
      <c r="A386" s="108">
        <f t="shared" si="113"/>
        <v>14</v>
      </c>
      <c r="B386" s="235" t="s">
        <v>385</v>
      </c>
      <c r="C386" s="232" t="s">
        <v>531</v>
      </c>
      <c r="D386" s="108">
        <v>23</v>
      </c>
      <c r="E386" s="108">
        <v>575</v>
      </c>
      <c r="F386" s="108">
        <v>3</v>
      </c>
      <c r="G386" s="108">
        <v>1725</v>
      </c>
      <c r="H386" s="108">
        <v>0</v>
      </c>
      <c r="I386" s="108">
        <v>0</v>
      </c>
      <c r="J386" s="108">
        <v>0</v>
      </c>
      <c r="K386" s="108">
        <v>0</v>
      </c>
      <c r="L386" s="141">
        <f>J386+K386</f>
        <v>0</v>
      </c>
      <c r="M386" s="108">
        <v>0</v>
      </c>
      <c r="N386" s="264">
        <v>0</v>
      </c>
      <c r="O386" s="264">
        <v>0</v>
      </c>
    </row>
    <row r="387" spans="1:18" s="234" customFormat="1">
      <c r="A387" s="108">
        <f t="shared" si="113"/>
        <v>15</v>
      </c>
      <c r="B387" s="235" t="s">
        <v>386</v>
      </c>
      <c r="C387" s="232" t="s">
        <v>387</v>
      </c>
      <c r="D387" s="108">
        <v>1</v>
      </c>
      <c r="E387" s="108">
        <v>23</v>
      </c>
      <c r="F387" s="108">
        <v>3</v>
      </c>
      <c r="G387" s="108">
        <v>69</v>
      </c>
      <c r="H387" s="108">
        <v>0</v>
      </c>
      <c r="I387" s="108">
        <v>0</v>
      </c>
      <c r="J387" s="108">
        <v>0</v>
      </c>
      <c r="K387" s="108">
        <v>0</v>
      </c>
      <c r="L387" s="141">
        <f t="shared" si="112"/>
        <v>0</v>
      </c>
      <c r="M387" s="108">
        <v>0</v>
      </c>
      <c r="N387" s="264">
        <v>0</v>
      </c>
      <c r="O387" s="264">
        <v>0</v>
      </c>
    </row>
    <row r="388" spans="1:18" s="234" customFormat="1">
      <c r="A388" s="108">
        <f t="shared" si="113"/>
        <v>16</v>
      </c>
      <c r="B388" s="235" t="s">
        <v>388</v>
      </c>
      <c r="C388" s="232" t="s">
        <v>339</v>
      </c>
      <c r="D388" s="108">
        <v>1</v>
      </c>
      <c r="E388" s="108">
        <v>35</v>
      </c>
      <c r="F388" s="108">
        <v>2</v>
      </c>
      <c r="G388" s="108">
        <v>70</v>
      </c>
      <c r="H388" s="210">
        <v>2</v>
      </c>
      <c r="I388" s="141">
        <v>2</v>
      </c>
      <c r="J388" s="141">
        <v>15</v>
      </c>
      <c r="K388" s="141">
        <v>41</v>
      </c>
      <c r="L388" s="141">
        <f t="shared" si="112"/>
        <v>56</v>
      </c>
      <c r="M388" s="210">
        <v>112</v>
      </c>
      <c r="N388" s="140">
        <v>2</v>
      </c>
      <c r="O388" s="140">
        <v>1.95</v>
      </c>
    </row>
    <row r="389" spans="1:18" s="234" customFormat="1" ht="36">
      <c r="A389" s="108">
        <f t="shared" si="113"/>
        <v>17</v>
      </c>
      <c r="B389" s="235" t="s">
        <v>390</v>
      </c>
      <c r="C389" s="232" t="s">
        <v>389</v>
      </c>
      <c r="D389" s="108">
        <v>4</v>
      </c>
      <c r="E389" s="108">
        <v>120</v>
      </c>
      <c r="F389" s="108">
        <v>1</v>
      </c>
      <c r="G389" s="108">
        <v>120</v>
      </c>
      <c r="H389" s="210">
        <v>2</v>
      </c>
      <c r="I389" s="141">
        <v>1</v>
      </c>
      <c r="J389" s="141">
        <v>20</v>
      </c>
      <c r="K389" s="141">
        <v>36</v>
      </c>
      <c r="L389" s="141">
        <f t="shared" si="112"/>
        <v>56</v>
      </c>
      <c r="M389" s="210">
        <v>56</v>
      </c>
      <c r="N389" s="140">
        <v>1.8</v>
      </c>
      <c r="O389" s="140">
        <v>1.74</v>
      </c>
    </row>
    <row r="390" spans="1:18" s="234" customFormat="1" ht="24">
      <c r="A390" s="108">
        <f t="shared" si="113"/>
        <v>18</v>
      </c>
      <c r="B390" s="235" t="s">
        <v>392</v>
      </c>
      <c r="C390" s="232" t="s">
        <v>391</v>
      </c>
      <c r="D390" s="108">
        <v>5</v>
      </c>
      <c r="E390" s="108">
        <v>250</v>
      </c>
      <c r="F390" s="108">
        <v>1</v>
      </c>
      <c r="G390" s="108">
        <v>250</v>
      </c>
      <c r="H390" s="210">
        <v>4</v>
      </c>
      <c r="I390" s="210">
        <v>1</v>
      </c>
      <c r="J390" s="141">
        <v>120</v>
      </c>
      <c r="K390" s="141">
        <v>80</v>
      </c>
      <c r="L390" s="141">
        <f t="shared" si="112"/>
        <v>200</v>
      </c>
      <c r="M390" s="210">
        <v>200</v>
      </c>
      <c r="N390" s="140">
        <v>5.8</v>
      </c>
      <c r="O390" s="140">
        <v>5.0999999999999996</v>
      </c>
    </row>
    <row r="391" spans="1:18" s="80" customFormat="1" ht="16.5" customHeight="1">
      <c r="A391" s="582" t="s">
        <v>217</v>
      </c>
      <c r="B391" s="941" t="s">
        <v>1292</v>
      </c>
      <c r="C391" s="941" t="s">
        <v>503</v>
      </c>
      <c r="D391" s="582">
        <f>SUM(D373:D390)</f>
        <v>880</v>
      </c>
      <c r="E391" s="582">
        <f>SUM(E373:E390)</f>
        <v>19580</v>
      </c>
      <c r="F391" s="582"/>
      <c r="G391" s="582">
        <f>SUM(G373:G390)</f>
        <v>42195</v>
      </c>
      <c r="H391" s="582">
        <f>SUM(H373:H390)</f>
        <v>642</v>
      </c>
      <c r="I391" s="582"/>
      <c r="J391" s="582">
        <f t="shared" ref="J391:M391" si="115">SUM(J373:J390)</f>
        <v>1419</v>
      </c>
      <c r="K391" s="582">
        <f t="shared" si="115"/>
        <v>13620</v>
      </c>
      <c r="L391" s="582">
        <f t="shared" si="115"/>
        <v>15039</v>
      </c>
      <c r="M391" s="582">
        <f t="shared" si="115"/>
        <v>31294</v>
      </c>
      <c r="N391" s="583">
        <f>SUM(N373:N390)</f>
        <v>174.75000000000003</v>
      </c>
      <c r="O391" s="583">
        <f>SUM(O373:O390)</f>
        <v>168.28</v>
      </c>
      <c r="Q391" s="585"/>
      <c r="R391" s="586"/>
    </row>
    <row r="392" spans="1:18" ht="21" customHeight="1">
      <c r="A392" s="199" t="s">
        <v>944</v>
      </c>
      <c r="B392" s="199"/>
      <c r="C392" s="199"/>
      <c r="D392" s="200">
        <f>D28</f>
        <v>75</v>
      </c>
      <c r="E392" s="200">
        <f t="shared" ref="E392:O392" si="116">E28</f>
        <v>1790</v>
      </c>
      <c r="F392" s="200"/>
      <c r="G392" s="200">
        <f t="shared" si="116"/>
        <v>6705</v>
      </c>
      <c r="H392" s="200">
        <f t="shared" si="116"/>
        <v>81</v>
      </c>
      <c r="I392" s="200"/>
      <c r="J392" s="200">
        <f t="shared" si="116"/>
        <v>1991</v>
      </c>
      <c r="K392" s="200">
        <f t="shared" si="116"/>
        <v>33</v>
      </c>
      <c r="L392" s="200">
        <f t="shared" si="116"/>
        <v>2024</v>
      </c>
      <c r="M392" s="200">
        <f t="shared" si="116"/>
        <v>7222</v>
      </c>
      <c r="N392" s="201">
        <f t="shared" si="116"/>
        <v>127.76</v>
      </c>
      <c r="O392" s="201">
        <f t="shared" si="116"/>
        <v>124.20738</v>
      </c>
    </row>
    <row r="393" spans="1:18" ht="18" customHeight="1">
      <c r="A393" s="198" t="s">
        <v>945</v>
      </c>
      <c r="B393" s="198"/>
      <c r="C393" s="198"/>
      <c r="D393" s="856">
        <f>D391+D371+D353+D330+D266+D249+D239+D236+D230+D216+D211+D208+D114+D77+D70+D66+D60+D54+D50</f>
        <v>7499</v>
      </c>
      <c r="E393" s="856">
        <f>E391+E371+E353+E330+E266+E249+E239+E236+E230+E216+E211+E208+E114+E77+E70+E66+E60+E54+E50</f>
        <v>145912</v>
      </c>
      <c r="F393" s="197"/>
      <c r="G393" s="856">
        <f>G391+G371+G353+G330+G266+G249+G216+G236+G211+G216+G230+G239+G208+G114+G77+G70+G66+G60+G54+G50</f>
        <v>1127944</v>
      </c>
      <c r="H393" s="856">
        <f>H391+H371+H353+H330+H266+H249+H239+H236+H230+H216+H211+H208+H114+H77+H70+H66+H60+H54+H50</f>
        <v>7093</v>
      </c>
      <c r="I393" s="197"/>
      <c r="J393" s="856">
        <f t="shared" ref="J393:O393" si="117">J391+J371+J353+J330+J266+J249+J239+J236+J230+J216+J211+J208+J114+J77+J70+J66+J60+J54+J50</f>
        <v>121817</v>
      </c>
      <c r="K393" s="856">
        <f t="shared" si="117"/>
        <v>68962</v>
      </c>
      <c r="L393" s="856">
        <f t="shared" si="117"/>
        <v>186401.6</v>
      </c>
      <c r="M393" s="856">
        <f t="shared" si="117"/>
        <v>1037170.31</v>
      </c>
      <c r="N393" s="211">
        <f t="shared" si="117"/>
        <v>8585.8269999999993</v>
      </c>
      <c r="O393" s="211">
        <f t="shared" si="117"/>
        <v>8441.9399999999987</v>
      </c>
    </row>
    <row r="394" spans="1:18" ht="18" customHeight="1">
      <c r="A394" s="202" t="s">
        <v>1118</v>
      </c>
      <c r="B394" s="202"/>
      <c r="C394" s="202"/>
      <c r="D394" s="212">
        <f>D392+D393</f>
        <v>7574</v>
      </c>
      <c r="E394" s="212">
        <f t="shared" ref="E394:O394" si="118">E392+E393</f>
        <v>147702</v>
      </c>
      <c r="F394" s="212"/>
      <c r="G394" s="212">
        <f t="shared" si="118"/>
        <v>1134649</v>
      </c>
      <c r="H394" s="203">
        <f t="shared" si="118"/>
        <v>7174</v>
      </c>
      <c r="I394" s="203"/>
      <c r="J394" s="855">
        <f t="shared" si="118"/>
        <v>123808</v>
      </c>
      <c r="K394" s="212">
        <f t="shared" si="118"/>
        <v>68995</v>
      </c>
      <c r="L394" s="212">
        <f t="shared" si="118"/>
        <v>188425.60000000001</v>
      </c>
      <c r="M394" s="212">
        <f t="shared" si="118"/>
        <v>1044392.31</v>
      </c>
      <c r="N394" s="204">
        <f t="shared" si="118"/>
        <v>8713.5869999999995</v>
      </c>
      <c r="O394" s="204">
        <f t="shared" si="118"/>
        <v>8566.1473799999985</v>
      </c>
    </row>
    <row r="395" spans="1:18">
      <c r="A395" s="85"/>
      <c r="B395" s="85"/>
      <c r="C395" s="85"/>
      <c r="D395" s="85"/>
      <c r="E395" s="85"/>
      <c r="F395" s="85"/>
      <c r="G395" s="85"/>
      <c r="H395" s="85"/>
      <c r="I395" s="85"/>
      <c r="J395" s="85"/>
      <c r="K395" s="85"/>
      <c r="L395" s="85"/>
      <c r="M395" s="85"/>
      <c r="N395" s="85"/>
      <c r="O395" s="85"/>
    </row>
    <row r="396" spans="1:18">
      <c r="A396" s="85"/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</row>
    <row r="397" spans="1:18">
      <c r="A397" s="85"/>
      <c r="B397" s="85"/>
      <c r="C397" s="85"/>
      <c r="D397" s="85"/>
      <c r="F397" s="85"/>
      <c r="G397" s="85"/>
      <c r="H397" s="85"/>
      <c r="I397" s="85"/>
      <c r="J397" s="85"/>
      <c r="K397" s="85"/>
      <c r="L397" s="85"/>
      <c r="M397" s="85"/>
      <c r="N397" s="85"/>
      <c r="O397" s="85"/>
    </row>
  </sheetData>
  <mergeCells count="68">
    <mergeCell ref="B371:C371"/>
    <mergeCell ref="B391:C391"/>
    <mergeCell ref="B239:C239"/>
    <mergeCell ref="B249:C249"/>
    <mergeCell ref="B266:C266"/>
    <mergeCell ref="B330:C330"/>
    <mergeCell ref="B353:C353"/>
    <mergeCell ref="B298:D298"/>
    <mergeCell ref="B305:D305"/>
    <mergeCell ref="B318:C318"/>
    <mergeCell ref="B322:C322"/>
    <mergeCell ref="B268:E268"/>
    <mergeCell ref="B292:E292"/>
    <mergeCell ref="B284:E284"/>
    <mergeCell ref="B274:E274"/>
    <mergeCell ref="B155:O155"/>
    <mergeCell ref="B211:C211"/>
    <mergeCell ref="B216:C216"/>
    <mergeCell ref="B230:C230"/>
    <mergeCell ref="B236:C236"/>
    <mergeCell ref="B167:C167"/>
    <mergeCell ref="B168:O168"/>
    <mergeCell ref="B174:C174"/>
    <mergeCell ref="B175:O175"/>
    <mergeCell ref="B185:C185"/>
    <mergeCell ref="B186:O186"/>
    <mergeCell ref="B199:C199"/>
    <mergeCell ref="B200:O200"/>
    <mergeCell ref="B207:C207"/>
    <mergeCell ref="B208:C208"/>
    <mergeCell ref="B28:C28"/>
    <mergeCell ref="A39:O39"/>
    <mergeCell ref="B116:O116"/>
    <mergeCell ref="B132:C132"/>
    <mergeCell ref="B133:O133"/>
    <mergeCell ref="B44:C44"/>
    <mergeCell ref="B38:C38"/>
    <mergeCell ref="B50:C50"/>
    <mergeCell ref="B144:C144"/>
    <mergeCell ref="B145:O145"/>
    <mergeCell ref="B154:C154"/>
    <mergeCell ref="B60:C60"/>
    <mergeCell ref="B66:C66"/>
    <mergeCell ref="B70:C70"/>
    <mergeCell ref="B77:C77"/>
    <mergeCell ref="B114:C114"/>
    <mergeCell ref="B27:C27"/>
    <mergeCell ref="D5:D6"/>
    <mergeCell ref="E5:E6"/>
    <mergeCell ref="F5:F6"/>
    <mergeCell ref="G5:G6"/>
    <mergeCell ref="A8:O8"/>
    <mergeCell ref="H5:H6"/>
    <mergeCell ref="I5:I6"/>
    <mergeCell ref="B20:C20"/>
    <mergeCell ref="A1:O1"/>
    <mergeCell ref="A2:O2"/>
    <mergeCell ref="A3:O3"/>
    <mergeCell ref="A4:A6"/>
    <mergeCell ref="B4:B6"/>
    <mergeCell ref="C4:C6"/>
    <mergeCell ref="D4:G4"/>
    <mergeCell ref="H4:M4"/>
    <mergeCell ref="N4:N6"/>
    <mergeCell ref="O4:O6"/>
    <mergeCell ref="J5:K5"/>
    <mergeCell ref="L5:L6"/>
    <mergeCell ref="M5:M6"/>
  </mergeCells>
  <printOptions gridLines="1"/>
  <pageMargins left="1" right="1" top="0.8" bottom="0.8" header="0.27" footer="0.3"/>
  <pageSetup paperSize="9" scale="85" orientation="landscape" r:id="rId1"/>
  <headerFooter>
    <oddHeader xml:space="preserve">&amp;R&amp;14TRAINING ACHIEVEMENT FY 2012-13 </oddHeader>
    <oddFooter>&amp;RPage &amp;P+5&amp;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view="pageBreakPreview" zoomScale="60" zoomScaleNormal="60" zoomScalePageLayoutView="63" workbookViewId="0">
      <selection activeCell="T77" sqref="T77"/>
    </sheetView>
  </sheetViews>
  <sheetFormatPr defaultRowHeight="12.75"/>
  <cols>
    <col min="1" max="1" width="6.28515625" customWidth="1"/>
    <col min="15" max="15" width="6.7109375" customWidth="1"/>
  </cols>
  <sheetData>
    <row r="1" ht="392.25" customHeight="1"/>
    <row r="2" ht="98.25" customHeight="1"/>
  </sheetData>
  <printOptions horizontalCentered="1" verticalCentered="1"/>
  <pageMargins left="0.44" right="0.36" top="0.34" bottom="0.4" header="0.38" footer="0.5"/>
  <pageSetup paperSize="4328" orientation="landscape" r:id="rId1"/>
  <drawing r:id="rId2"/>
  <legacyDrawing r:id="rId3"/>
  <oleObjects>
    <oleObject progId="Word.Picture.8" shapeId="11265" r:id="rId4"/>
  </oleObjects>
</worksheet>
</file>

<file path=xl/worksheets/sheet7.xml><?xml version="1.0" encoding="utf-8"?>
<worksheet xmlns="http://schemas.openxmlformats.org/spreadsheetml/2006/main" xmlns:r="http://schemas.openxmlformats.org/officeDocument/2006/relationships">
  <dimension ref="A1:P13"/>
  <sheetViews>
    <sheetView topLeftCell="A7" zoomScale="70" zoomScaleNormal="70" zoomScaleSheetLayoutView="50" zoomScalePageLayoutView="70" workbookViewId="0">
      <selection activeCell="Q18" sqref="Q18"/>
    </sheetView>
  </sheetViews>
  <sheetFormatPr defaultRowHeight="12.75"/>
  <cols>
    <col min="1" max="1" width="9.140625" style="1" customWidth="1"/>
    <col min="2" max="2" width="11.85546875" style="1" bestFit="1" customWidth="1"/>
    <col min="3" max="4" width="9.140625" style="1"/>
    <col min="5" max="6" width="9.140625" style="1" customWidth="1"/>
    <col min="7" max="10" width="9.140625" style="1"/>
    <col min="11" max="12" width="9.140625" style="1" customWidth="1"/>
    <col min="13" max="13" width="6.42578125" style="1" customWidth="1"/>
    <col min="14" max="16384" width="9.140625" style="1"/>
  </cols>
  <sheetData>
    <row r="1" spans="1:16" ht="392.25" customHeight="1">
      <c r="A1" s="14" t="s">
        <v>22</v>
      </c>
      <c r="B1" s="15"/>
      <c r="C1" s="15"/>
      <c r="D1" s="15"/>
      <c r="E1" s="16"/>
      <c r="F1" s="17"/>
      <c r="G1" s="16"/>
      <c r="H1" s="16"/>
      <c r="I1" s="15"/>
      <c r="J1" s="15"/>
      <c r="K1" s="15"/>
      <c r="L1" s="18"/>
    </row>
    <row r="2" spans="1:16" ht="96.6" customHeight="1">
      <c r="A2" s="19"/>
      <c r="B2" s="19"/>
      <c r="C2" s="19"/>
      <c r="D2" s="19"/>
      <c r="E2" s="20"/>
      <c r="F2" s="20"/>
      <c r="G2" s="20"/>
      <c r="H2" s="20"/>
      <c r="I2" s="19"/>
      <c r="J2" s="19"/>
      <c r="K2" s="19"/>
      <c r="L2" s="21"/>
    </row>
    <row r="3" spans="1:16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21"/>
    </row>
    <row r="4" spans="1:16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21"/>
    </row>
    <row r="5" spans="1:16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21"/>
    </row>
    <row r="6" spans="1:16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21"/>
    </row>
    <row r="7" spans="1:16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21"/>
    </row>
    <row r="8" spans="1:16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21"/>
    </row>
    <row r="9" spans="1:16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21"/>
    </row>
    <row r="10" spans="1:16">
      <c r="M10" s="3"/>
      <c r="N10" s="23"/>
      <c r="O10" s="2"/>
      <c r="P10" s="22"/>
    </row>
    <row r="11" spans="1:16" ht="15.75">
      <c r="A11" s="25"/>
    </row>
    <row r="12" spans="1:16" ht="15">
      <c r="A12" s="26"/>
    </row>
    <row r="13" spans="1:16" ht="15.75">
      <c r="A13" s="27"/>
    </row>
  </sheetData>
  <printOptions horizontalCentered="1" verticalCentered="1"/>
  <pageMargins left="0.6" right="0.5" top="0.37" bottom="0.32" header="0.32" footer="0.41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B88"/>
  <sheetViews>
    <sheetView topLeftCell="O1" zoomScalePageLayoutView="73" workbookViewId="0">
      <selection activeCell="AA20" sqref="AA20"/>
    </sheetView>
  </sheetViews>
  <sheetFormatPr defaultRowHeight="12.75"/>
  <cols>
    <col min="1" max="1" width="3.85546875" style="4" customWidth="1"/>
    <col min="2" max="2" width="20.140625" style="4" customWidth="1"/>
    <col min="3" max="3" width="7.5703125" style="4" customWidth="1"/>
    <col min="4" max="4" width="7.28515625" style="4" customWidth="1"/>
    <col min="5" max="5" width="10.140625" style="4" customWidth="1"/>
    <col min="6" max="6" width="9.28515625" style="4" customWidth="1"/>
    <col min="7" max="7" width="8.140625" style="4" customWidth="1"/>
    <col min="8" max="8" width="8.28515625" style="4" customWidth="1"/>
    <col min="9" max="9" width="7.28515625" style="4" customWidth="1"/>
    <col min="10" max="10" width="7.140625" style="4" customWidth="1"/>
    <col min="11" max="16" width="7.7109375" style="4" customWidth="1"/>
    <col min="17" max="17" width="12.28515625" style="4" customWidth="1"/>
    <col min="18" max="18" width="6.7109375" style="4" customWidth="1"/>
    <col min="19" max="19" width="8.28515625" style="4" customWidth="1"/>
    <col min="20" max="20" width="10.42578125" style="4" customWidth="1"/>
    <col min="21" max="21" width="8.140625" style="4" customWidth="1"/>
    <col min="22" max="22" width="7.7109375" style="4" customWidth="1"/>
    <col min="23" max="23" width="10.28515625" style="4" customWidth="1"/>
    <col min="24" max="24" width="9.5703125" style="4" customWidth="1"/>
    <col min="25" max="25" width="12" style="4" customWidth="1"/>
    <col min="26" max="26" width="12.7109375" style="4" customWidth="1"/>
    <col min="27" max="27" width="15.85546875" style="4" customWidth="1"/>
    <col min="28" max="28" width="10.5703125" style="4" customWidth="1"/>
    <col min="29" max="16384" width="9.140625" style="4"/>
  </cols>
  <sheetData>
    <row r="1" spans="20:28" ht="30.75" customHeight="1"/>
    <row r="3" spans="20:28" ht="25.5">
      <c r="T3" s="70" t="s">
        <v>426</v>
      </c>
      <c r="U3" s="71" t="s">
        <v>433</v>
      </c>
      <c r="V3" s="71" t="s">
        <v>432</v>
      </c>
      <c r="W3" s="71" t="s">
        <v>430</v>
      </c>
      <c r="X3" s="71" t="s">
        <v>431</v>
      </c>
      <c r="Y3" s="71" t="s">
        <v>428</v>
      </c>
      <c r="Z3" s="71" t="s">
        <v>429</v>
      </c>
      <c r="AA3" s="70" t="s">
        <v>880</v>
      </c>
      <c r="AB3" s="70" t="s">
        <v>427</v>
      </c>
    </row>
    <row r="4" spans="20:28">
      <c r="T4" s="72" t="s">
        <v>969</v>
      </c>
      <c r="U4" s="228">
        <v>74</v>
      </c>
      <c r="V4" s="228">
        <v>81</v>
      </c>
      <c r="W4" s="228">
        <v>1760</v>
      </c>
      <c r="X4" s="228">
        <v>2054</v>
      </c>
      <c r="Y4" s="228">
        <v>6645</v>
      </c>
      <c r="Z4" s="228">
        <v>7372</v>
      </c>
      <c r="AA4" s="579">
        <v>125</v>
      </c>
      <c r="AB4" s="579">
        <v>125</v>
      </c>
    </row>
    <row r="5" spans="20:28">
      <c r="T5" s="72" t="s">
        <v>329</v>
      </c>
      <c r="U5" s="73">
        <v>4</v>
      </c>
      <c r="V5" s="228">
        <v>4</v>
      </c>
      <c r="W5" s="73">
        <v>120</v>
      </c>
      <c r="X5" s="228">
        <v>115</v>
      </c>
      <c r="Y5" s="73">
        <v>600</v>
      </c>
      <c r="Z5" s="228">
        <v>575</v>
      </c>
      <c r="AA5" s="580">
        <v>12</v>
      </c>
      <c r="AB5" s="579">
        <v>11.11</v>
      </c>
    </row>
    <row r="6" spans="20:28">
      <c r="T6" s="72" t="s">
        <v>371</v>
      </c>
      <c r="U6" s="73">
        <v>4</v>
      </c>
      <c r="V6" s="228">
        <v>3</v>
      </c>
      <c r="W6" s="73">
        <v>75</v>
      </c>
      <c r="X6" s="228">
        <v>136</v>
      </c>
      <c r="Y6" s="73">
        <v>150</v>
      </c>
      <c r="Z6" s="228">
        <v>195</v>
      </c>
      <c r="AA6" s="580">
        <v>7</v>
      </c>
      <c r="AB6" s="579">
        <v>7.57</v>
      </c>
    </row>
    <row r="7" spans="20:28">
      <c r="T7" s="72" t="s">
        <v>330</v>
      </c>
      <c r="U7" s="73">
        <v>5</v>
      </c>
      <c r="V7" s="228">
        <v>4</v>
      </c>
      <c r="W7" s="73">
        <v>189</v>
      </c>
      <c r="X7" s="228">
        <v>310</v>
      </c>
      <c r="Y7" s="73">
        <v>432</v>
      </c>
      <c r="Z7" s="228">
        <v>310</v>
      </c>
      <c r="AA7" s="580">
        <v>5.5</v>
      </c>
      <c r="AB7" s="579">
        <v>7.07</v>
      </c>
    </row>
    <row r="8" spans="20:28">
      <c r="T8" s="72" t="s">
        <v>43</v>
      </c>
      <c r="U8" s="73">
        <v>149</v>
      </c>
      <c r="V8" s="228">
        <v>106</v>
      </c>
      <c r="W8" s="73">
        <v>3324</v>
      </c>
      <c r="X8" s="228">
        <v>2272</v>
      </c>
      <c r="Y8" s="73">
        <v>52560</v>
      </c>
      <c r="Z8" s="228">
        <v>25380</v>
      </c>
      <c r="AA8" s="580">
        <v>349.06</v>
      </c>
      <c r="AB8" s="579">
        <v>194.44</v>
      </c>
    </row>
    <row r="9" spans="20:28">
      <c r="T9" s="75" t="s">
        <v>35</v>
      </c>
      <c r="U9" s="74">
        <v>448</v>
      </c>
      <c r="V9" s="228">
        <v>437</v>
      </c>
      <c r="W9" s="74">
        <v>1155</v>
      </c>
      <c r="X9" s="228">
        <v>9380</v>
      </c>
      <c r="Y9" s="74">
        <v>18630</v>
      </c>
      <c r="Z9" s="228">
        <v>18360</v>
      </c>
      <c r="AA9" s="581">
        <v>94.39</v>
      </c>
      <c r="AB9" s="579">
        <v>90.33</v>
      </c>
    </row>
    <row r="10" spans="20:28">
      <c r="T10" s="76" t="s">
        <v>34</v>
      </c>
      <c r="U10" s="74">
        <v>662</v>
      </c>
      <c r="V10" s="228">
        <v>805</v>
      </c>
      <c r="W10" s="74">
        <v>2139</v>
      </c>
      <c r="X10" s="228">
        <v>31987</v>
      </c>
      <c r="Y10" s="74">
        <v>40647</v>
      </c>
      <c r="Z10" s="228">
        <v>61930</v>
      </c>
      <c r="AA10" s="581">
        <v>680</v>
      </c>
      <c r="AB10" s="579">
        <v>674</v>
      </c>
    </row>
    <row r="11" spans="20:28">
      <c r="T11" s="78" t="s">
        <v>32</v>
      </c>
      <c r="U11" s="74">
        <v>36</v>
      </c>
      <c r="V11" s="228">
        <v>36</v>
      </c>
      <c r="W11" s="74">
        <v>1400</v>
      </c>
      <c r="X11" s="228">
        <v>1400</v>
      </c>
      <c r="Y11" s="74">
        <v>1400</v>
      </c>
      <c r="Z11" s="228">
        <v>1400</v>
      </c>
      <c r="AA11" s="581">
        <v>6.53</v>
      </c>
      <c r="AB11" s="579">
        <v>6.52</v>
      </c>
    </row>
    <row r="12" spans="20:28">
      <c r="T12" s="76" t="s">
        <v>36</v>
      </c>
      <c r="U12" s="74">
        <v>95</v>
      </c>
      <c r="V12" s="74">
        <f>'Achievement 12-13'!H216</f>
        <v>95</v>
      </c>
      <c r="W12" s="74">
        <f>'Achievement 12-13'!E216</f>
        <v>2852</v>
      </c>
      <c r="X12" s="74">
        <f>'Achievement 12-13'!L216</f>
        <v>2596</v>
      </c>
      <c r="Y12" s="74">
        <v>5904</v>
      </c>
      <c r="Z12" s="74">
        <f>'Achievement 12-13'!M216</f>
        <v>5357</v>
      </c>
      <c r="AA12" s="581">
        <f>'Achievement 12-13'!N216</f>
        <v>156</v>
      </c>
      <c r="AB12" s="581">
        <f>'Achievement 12-13'!O216</f>
        <v>153.63999999999999</v>
      </c>
    </row>
    <row r="13" spans="20:28">
      <c r="T13" s="78" t="s">
        <v>39</v>
      </c>
      <c r="U13" s="74">
        <v>408</v>
      </c>
      <c r="V13" s="228">
        <v>424</v>
      </c>
      <c r="W13" s="74">
        <v>12208</v>
      </c>
      <c r="X13" s="228">
        <v>10412</v>
      </c>
      <c r="Y13" s="74">
        <v>358740</v>
      </c>
      <c r="Z13" s="228">
        <v>296547</v>
      </c>
      <c r="AA13" s="581">
        <v>111.5</v>
      </c>
      <c r="AB13" s="579">
        <v>94.5</v>
      </c>
    </row>
    <row r="14" spans="20:28">
      <c r="T14" s="78" t="s">
        <v>340</v>
      </c>
      <c r="U14" s="74">
        <v>6</v>
      </c>
      <c r="V14" s="228">
        <v>6</v>
      </c>
      <c r="W14" s="74">
        <v>102</v>
      </c>
      <c r="X14" s="228">
        <v>102</v>
      </c>
      <c r="Y14" s="74">
        <v>306</v>
      </c>
      <c r="Z14" s="228">
        <v>306</v>
      </c>
      <c r="AA14" s="581">
        <v>6.42</v>
      </c>
      <c r="AB14" s="579">
        <v>6.4</v>
      </c>
    </row>
    <row r="15" spans="20:28">
      <c r="T15" s="77" t="s">
        <v>274</v>
      </c>
      <c r="U15" s="74">
        <v>64</v>
      </c>
      <c r="V15" s="228">
        <v>64</v>
      </c>
      <c r="W15" s="74">
        <v>3173</v>
      </c>
      <c r="X15" s="228">
        <v>3083</v>
      </c>
      <c r="Y15" s="74">
        <v>9197</v>
      </c>
      <c r="Z15" s="228">
        <v>9077</v>
      </c>
      <c r="AA15" s="581">
        <v>125.23</v>
      </c>
      <c r="AB15" s="579">
        <v>144.72999999999999</v>
      </c>
    </row>
    <row r="16" spans="20:28">
      <c r="T16" s="78" t="s">
        <v>375</v>
      </c>
      <c r="U16" s="74">
        <v>515</v>
      </c>
      <c r="V16" s="228">
        <v>380</v>
      </c>
      <c r="W16" s="74">
        <v>7221</v>
      </c>
      <c r="X16" s="228">
        <v>259</v>
      </c>
      <c r="Y16" s="74">
        <v>21764</v>
      </c>
      <c r="Z16" s="228">
        <v>16625</v>
      </c>
      <c r="AA16" s="581">
        <v>198</v>
      </c>
      <c r="AB16" s="579">
        <v>162.91999999999999</v>
      </c>
    </row>
    <row r="17" spans="2:28">
      <c r="T17" s="76" t="s">
        <v>434</v>
      </c>
      <c r="U17" s="74">
        <v>638</v>
      </c>
      <c r="V17" s="228">
        <v>537</v>
      </c>
      <c r="W17" s="74">
        <v>1068</v>
      </c>
      <c r="X17" s="228">
        <v>18253</v>
      </c>
      <c r="Y17" s="74">
        <v>33015</v>
      </c>
      <c r="Z17" s="228">
        <v>33912</v>
      </c>
      <c r="AA17" s="581">
        <v>200</v>
      </c>
      <c r="AB17" s="579">
        <v>270.62</v>
      </c>
    </row>
    <row r="18" spans="2:28">
      <c r="T18" s="76" t="s">
        <v>37</v>
      </c>
      <c r="U18" s="74">
        <v>295</v>
      </c>
      <c r="V18" s="228">
        <v>113</v>
      </c>
      <c r="W18" s="74">
        <v>10092</v>
      </c>
      <c r="X18" s="228">
        <v>4523</v>
      </c>
      <c r="Y18" s="74">
        <f>'Achievement 12-13'!G353</f>
        <v>12894</v>
      </c>
      <c r="Z18" s="228">
        <v>6035</v>
      </c>
      <c r="AA18" s="581">
        <v>34.07</v>
      </c>
      <c r="AB18" s="579">
        <v>25.86</v>
      </c>
    </row>
    <row r="19" spans="2:28">
      <c r="B19" s="5"/>
      <c r="D19" s="5"/>
      <c r="E19" s="5"/>
      <c r="T19" s="78" t="s">
        <v>33</v>
      </c>
      <c r="U19" s="74">
        <v>71</v>
      </c>
      <c r="V19" s="228">
        <v>71</v>
      </c>
      <c r="W19" s="74">
        <v>696</v>
      </c>
      <c r="X19" s="228">
        <v>847</v>
      </c>
      <c r="Y19" s="74">
        <v>3056</v>
      </c>
      <c r="Z19" s="228">
        <v>2941</v>
      </c>
      <c r="AA19" s="581">
        <v>76.260000000000005</v>
      </c>
      <c r="AB19" s="579">
        <v>74.52</v>
      </c>
    </row>
    <row r="20" spans="2:28">
      <c r="B20" s="5"/>
      <c r="D20" s="5"/>
      <c r="E20" s="5"/>
      <c r="T20" s="77" t="s">
        <v>38</v>
      </c>
      <c r="U20" s="74">
        <v>880</v>
      </c>
      <c r="V20" s="228">
        <v>642</v>
      </c>
      <c r="W20" s="74">
        <v>19580</v>
      </c>
      <c r="X20" s="228">
        <v>14430</v>
      </c>
      <c r="Y20" s="74">
        <v>42195</v>
      </c>
      <c r="Z20" s="228">
        <v>30085</v>
      </c>
      <c r="AA20" s="581">
        <v>175</v>
      </c>
      <c r="AB20" s="579">
        <v>168</v>
      </c>
    </row>
    <row r="21" spans="2:28">
      <c r="B21" s="5"/>
      <c r="D21" s="5"/>
      <c r="E21" s="5"/>
    </row>
    <row r="22" spans="2:28">
      <c r="B22" s="5"/>
      <c r="D22" s="5"/>
      <c r="E22" s="5"/>
    </row>
    <row r="23" spans="2:28">
      <c r="B23" s="5"/>
      <c r="D23" s="5"/>
      <c r="E23" s="5"/>
    </row>
    <row r="24" spans="2:28">
      <c r="B24" s="5"/>
      <c r="C24" s="5"/>
      <c r="D24" s="5"/>
      <c r="E24" s="5"/>
    </row>
    <row r="25" spans="2:28">
      <c r="B25" s="5"/>
      <c r="C25" s="5"/>
      <c r="D25" s="5"/>
      <c r="E25" s="5"/>
    </row>
    <row r="26" spans="2:28">
      <c r="B26" s="5"/>
      <c r="C26" s="5"/>
      <c r="D26" s="5"/>
      <c r="E26" s="5"/>
    </row>
    <row r="45" spans="2:2">
      <c r="B45" s="69"/>
    </row>
    <row r="88" spans="1:17" ht="18.75" customHeight="1">
      <c r="A88" s="957" t="s">
        <v>1363</v>
      </c>
      <c r="B88" s="957"/>
      <c r="C88" s="957"/>
      <c r="D88" s="957"/>
      <c r="E88" s="957"/>
      <c r="F88" s="957"/>
      <c r="G88" s="957"/>
      <c r="H88" s="957"/>
      <c r="I88" s="957"/>
      <c r="J88" s="957"/>
      <c r="K88" s="957"/>
      <c r="L88" s="957"/>
      <c r="M88" s="957"/>
      <c r="N88" s="957"/>
      <c r="O88" s="957"/>
      <c r="P88" s="957"/>
      <c r="Q88" s="957"/>
    </row>
  </sheetData>
  <mergeCells count="1">
    <mergeCell ref="A88:Q88"/>
  </mergeCells>
  <pageMargins left="1" right="1" top="0.8" bottom="0.8" header="0.25" footer="0.25"/>
  <pageSetup paperSize="9" scale="85" orientation="landscape" r:id="rId1"/>
  <headerFooter scaleWithDoc="0" alignWithMargins="0">
    <oddFooter>&amp;RPage &amp;P+1&amp;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2" sqref="J12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Plan Project 13-14</vt:lpstr>
      <vt:lpstr>Plan Revenue 13-14</vt:lpstr>
      <vt:lpstr>SUMMARY 13-14</vt:lpstr>
      <vt:lpstr>SUMMARY 12-13</vt:lpstr>
      <vt:lpstr>Achievement 12-13</vt:lpstr>
      <vt:lpstr>First Page</vt:lpstr>
      <vt:lpstr>Last page</vt:lpstr>
      <vt:lpstr>Graph 12-13</vt:lpstr>
      <vt:lpstr>Sheet1</vt:lpstr>
      <vt:lpstr>'Achievement 12-13'!Print_Area</vt:lpstr>
      <vt:lpstr>'Plan Project 13-14'!Print_Area</vt:lpstr>
      <vt:lpstr>'Achievement 12-13'!Print_Titles</vt:lpstr>
      <vt:lpstr>'Plan Project 13-14'!Print_Titles</vt:lpstr>
      <vt:lpstr>'Plan Revenue 13-14'!Print_Titles</vt:lpstr>
    </vt:vector>
  </TitlesOfParts>
  <Company>LGED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Abul Kalam Pramanik</dc:creator>
  <cp:lastModifiedBy>user</cp:lastModifiedBy>
  <cp:lastPrinted>2013-08-04T05:20:40Z</cp:lastPrinted>
  <dcterms:created xsi:type="dcterms:W3CDTF">2007-04-09T11:50:00Z</dcterms:created>
  <dcterms:modified xsi:type="dcterms:W3CDTF">2013-08-05T05:17:22Z</dcterms:modified>
</cp:coreProperties>
</file>